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udrinayoo\Documents\Inventory\"/>
    </mc:Choice>
  </mc:AlternateContent>
  <xr:revisionPtr revIDLastSave="0" documentId="13_ncr:1_{6942A144-DFFC-4EAC-A1C1-5400A16794D3}" xr6:coauthVersionLast="47" xr6:coauthVersionMax="47" xr10:uidLastSave="{00000000-0000-0000-0000-000000000000}"/>
  <bookViews>
    <workbookView xWindow="-110" yWindow="-110" windowWidth="19420" windowHeight="10300" xr2:uid="{730DD664-5A51-4EFA-9C52-6167E2D907FD}"/>
  </bookViews>
  <sheets>
    <sheet name="Suppluer Code" sheetId="2" r:id="rId1"/>
    <sheet name="Raw Inventory" sheetId="1" r:id="rId2"/>
    <sheet name="Purcahse_Inv" sheetId="5" r:id="rId3"/>
    <sheet name="Stock Bal" sheetId="3" r:id="rId4"/>
    <sheet name="Stock Bal_Audit" sheetId="7" r:id="rId5"/>
  </sheets>
  <definedNames>
    <definedName name="_xlnm._FilterDatabase" localSheetId="1" hidden="1">'Raw Inventory'!$A$5:$R$432</definedName>
    <definedName name="_xlnm._FilterDatabase" localSheetId="4" hidden="1">'Stock Bal_Audit'!$B$5:$E$148</definedName>
    <definedName name="_xlnm.Print_Area" localSheetId="2">Purcahse_Inv!$A$3:$G$247</definedName>
    <definedName name="_xlnm.Print_Area" localSheetId="1">'Raw Inventory'!$A$4:$R$147</definedName>
    <definedName name="_xlnm.Print_Area" localSheetId="3">'Stock Bal'!$L$4:$O$102</definedName>
    <definedName name="_xlnm.Print_Area" localSheetId="4">'Stock Bal_Audit'!$B$3:$E$148</definedName>
  </definedNames>
  <calcPr calcId="191029"/>
  <pivotCaches>
    <pivotCache cacheId="2" r:id="rId6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424" i="1" l="1"/>
  <c r="O362" i="1"/>
  <c r="O323" i="1"/>
  <c r="O354" i="1"/>
  <c r="P426" i="1" l="1"/>
  <c r="L426" i="1"/>
  <c r="B426" i="1"/>
  <c r="C426" i="1"/>
  <c r="O432" i="1"/>
  <c r="P432" i="1" s="1"/>
  <c r="P431" i="1"/>
  <c r="B432" i="1"/>
  <c r="C432" i="1"/>
  <c r="L432" i="1"/>
  <c r="O428" i="1"/>
  <c r="O399" i="1" l="1"/>
  <c r="O423" i="1"/>
  <c r="P428" i="1"/>
  <c r="P429" i="1"/>
  <c r="P430" i="1"/>
  <c r="L430" i="1" l="1"/>
  <c r="L431" i="1"/>
  <c r="B430" i="1"/>
  <c r="C430" i="1"/>
  <c r="B431" i="1"/>
  <c r="C431" i="1"/>
  <c r="B429" i="1"/>
  <c r="C429" i="1"/>
  <c r="L429" i="1"/>
  <c r="L428" i="1"/>
  <c r="B428" i="1"/>
  <c r="C428" i="1"/>
  <c r="O214" i="1" l="1"/>
  <c r="O416" i="1"/>
  <c r="P424" i="1"/>
  <c r="O299" i="1"/>
  <c r="O378" i="1"/>
  <c r="P423" i="1"/>
  <c r="O400" i="1"/>
  <c r="O421" i="1"/>
  <c r="P421" i="1" s="1"/>
  <c r="O419" i="1"/>
  <c r="P419" i="1" s="1"/>
  <c r="O380" i="1"/>
  <c r="O398" i="1"/>
  <c r="O396" i="1"/>
  <c r="B424" i="1"/>
  <c r="C424" i="1"/>
  <c r="B425" i="1"/>
  <c r="C425" i="1"/>
  <c r="B427" i="1"/>
  <c r="C427" i="1"/>
  <c r="B423" i="1"/>
  <c r="C423" i="1"/>
  <c r="L427" i="1"/>
  <c r="P427" i="1"/>
  <c r="P418" i="1"/>
  <c r="P420" i="1"/>
  <c r="P422" i="1"/>
  <c r="P425" i="1"/>
  <c r="O352" i="1" l="1"/>
  <c r="O401" i="1"/>
  <c r="O405" i="1"/>
  <c r="O350" i="1"/>
  <c r="O382" i="1"/>
  <c r="L425" i="1"/>
  <c r="L424" i="1"/>
  <c r="L423" i="1"/>
  <c r="L421" i="1"/>
  <c r="L422" i="1"/>
  <c r="L420" i="1"/>
  <c r="L419" i="1"/>
  <c r="L418" i="1"/>
  <c r="B421" i="1"/>
  <c r="C421" i="1"/>
  <c r="B422" i="1"/>
  <c r="C422" i="1"/>
  <c r="P378" i="1" l="1"/>
  <c r="P405" i="1"/>
  <c r="P406" i="1"/>
  <c r="P354" i="1"/>
  <c r="L405" i="1"/>
  <c r="B405" i="1"/>
  <c r="C405" i="1"/>
  <c r="B406" i="1"/>
  <c r="C406" i="1"/>
  <c r="O383" i="1"/>
  <c r="P383" i="1" s="1"/>
  <c r="P380" i="1"/>
  <c r="P382" i="1"/>
  <c r="P400" i="1"/>
  <c r="O397" i="1"/>
  <c r="P397" i="1" s="1"/>
  <c r="P407" i="1"/>
  <c r="P408" i="1"/>
  <c r="P409" i="1"/>
  <c r="P410" i="1"/>
  <c r="P411" i="1"/>
  <c r="P412" i="1"/>
  <c r="P413" i="1"/>
  <c r="P414" i="1"/>
  <c r="P415" i="1"/>
  <c r="P416" i="1"/>
  <c r="P417" i="1"/>
  <c r="L417" i="1"/>
  <c r="L416" i="1"/>
  <c r="L415" i="1"/>
  <c r="L414" i="1"/>
  <c r="L413" i="1"/>
  <c r="B414" i="1"/>
  <c r="C414" i="1"/>
  <c r="B415" i="1"/>
  <c r="C415" i="1"/>
  <c r="B416" i="1"/>
  <c r="C416" i="1"/>
  <c r="B417" i="1"/>
  <c r="C417" i="1"/>
  <c r="B418" i="1"/>
  <c r="C418" i="1"/>
  <c r="B419" i="1"/>
  <c r="C419" i="1"/>
  <c r="B420" i="1"/>
  <c r="C420" i="1"/>
  <c r="L412" i="1"/>
  <c r="L411" i="1"/>
  <c r="L410" i="1"/>
  <c r="L409" i="1"/>
  <c r="L408" i="1"/>
  <c r="L407" i="1"/>
  <c r="L406" i="1"/>
  <c r="B407" i="1"/>
  <c r="C407" i="1"/>
  <c r="B408" i="1"/>
  <c r="C408" i="1"/>
  <c r="B409" i="1"/>
  <c r="C409" i="1"/>
  <c r="B410" i="1"/>
  <c r="C410" i="1"/>
  <c r="B411" i="1"/>
  <c r="C411" i="1"/>
  <c r="B412" i="1"/>
  <c r="C412" i="1"/>
  <c r="B413" i="1"/>
  <c r="C413" i="1"/>
  <c r="P401" i="1"/>
  <c r="O247" i="1"/>
  <c r="P396" i="1"/>
  <c r="P362" i="1"/>
  <c r="O404" i="1"/>
  <c r="P404" i="1" s="1"/>
  <c r="L404" i="1"/>
  <c r="B404" i="1"/>
  <c r="C404" i="1"/>
  <c r="P403" i="1"/>
  <c r="P402" i="1"/>
  <c r="L402" i="1"/>
  <c r="L403" i="1"/>
  <c r="B403" i="1"/>
  <c r="C403" i="1"/>
  <c r="B402" i="1"/>
  <c r="C402" i="1"/>
  <c r="L394" i="1"/>
  <c r="L395" i="1"/>
  <c r="L396" i="1"/>
  <c r="L397" i="1"/>
  <c r="L398" i="1"/>
  <c r="L399" i="1"/>
  <c r="L400" i="1"/>
  <c r="L401" i="1"/>
  <c r="P398" i="1"/>
  <c r="P399" i="1"/>
  <c r="B399" i="1"/>
  <c r="C399" i="1"/>
  <c r="B400" i="1"/>
  <c r="C400" i="1"/>
  <c r="B398" i="1"/>
  <c r="C398" i="1"/>
  <c r="B397" i="1"/>
  <c r="C397" i="1"/>
  <c r="B401" i="1"/>
  <c r="C401" i="1"/>
  <c r="O381" i="1"/>
  <c r="P381" i="1" s="1"/>
  <c r="O392" i="1"/>
  <c r="P392" i="1" s="1"/>
  <c r="L393" i="1"/>
  <c r="L392" i="1"/>
  <c r="P393" i="1"/>
  <c r="P394" i="1"/>
  <c r="P395" i="1"/>
  <c r="B393" i="1"/>
  <c r="C393" i="1"/>
  <c r="B394" i="1"/>
  <c r="C394" i="1"/>
  <c r="B395" i="1"/>
  <c r="C395" i="1"/>
  <c r="B396" i="1"/>
  <c r="C396" i="1"/>
  <c r="B392" i="1"/>
  <c r="C392" i="1"/>
  <c r="O379" i="1"/>
  <c r="P379" i="1" s="1"/>
  <c r="O340" i="1"/>
  <c r="P388" i="1"/>
  <c r="P389" i="1"/>
  <c r="P390" i="1"/>
  <c r="P391" i="1"/>
  <c r="L388" i="1"/>
  <c r="B388" i="1"/>
  <c r="C388" i="1"/>
  <c r="P387" i="1"/>
  <c r="B387" i="1"/>
  <c r="C387" i="1"/>
  <c r="L387" i="1"/>
  <c r="L389" i="1"/>
  <c r="L390" i="1"/>
  <c r="L391" i="1"/>
  <c r="O100" i="1"/>
  <c r="O358" i="1"/>
  <c r="P358" i="1" s="1"/>
  <c r="O335" i="1"/>
  <c r="O353" i="1"/>
  <c r="O357" i="1"/>
  <c r="P357" i="1" s="1"/>
  <c r="O355" i="1"/>
  <c r="P355" i="1" s="1"/>
  <c r="O376" i="1"/>
  <c r="P376" i="1" s="1"/>
  <c r="P377" i="1"/>
  <c r="O363" i="1"/>
  <c r="P363" i="1" s="1"/>
  <c r="O356" i="1"/>
  <c r="P356" i="1" s="1"/>
  <c r="O361" i="1"/>
  <c r="P361" i="1" s="1"/>
  <c r="P371" i="1"/>
  <c r="P386" i="1"/>
  <c r="P385" i="1"/>
  <c r="P384" i="1"/>
  <c r="B386" i="1"/>
  <c r="C386" i="1"/>
  <c r="B389" i="1"/>
  <c r="C389" i="1"/>
  <c r="B390" i="1"/>
  <c r="C390" i="1"/>
  <c r="B391" i="1"/>
  <c r="C391" i="1"/>
  <c r="B381" i="1"/>
  <c r="C381" i="1"/>
  <c r="B382" i="1"/>
  <c r="C382" i="1"/>
  <c r="B383" i="1"/>
  <c r="C383" i="1"/>
  <c r="B384" i="1"/>
  <c r="C384" i="1"/>
  <c r="B385" i="1"/>
  <c r="C385" i="1"/>
  <c r="L380" i="1"/>
  <c r="L381" i="1"/>
  <c r="L382" i="1"/>
  <c r="L383" i="1"/>
  <c r="L384" i="1"/>
  <c r="L385" i="1"/>
  <c r="L386" i="1"/>
  <c r="L378" i="1"/>
  <c r="L379" i="1"/>
  <c r="L377" i="1"/>
  <c r="L376" i="1"/>
  <c r="L375" i="1"/>
  <c r="L374" i="1"/>
  <c r="L373" i="1"/>
  <c r="P372" i="1"/>
  <c r="P373" i="1"/>
  <c r="P374" i="1"/>
  <c r="P375" i="1"/>
  <c r="L372" i="1"/>
  <c r="L371" i="1"/>
  <c r="B372" i="1"/>
  <c r="C372" i="1"/>
  <c r="B373" i="1"/>
  <c r="C373" i="1"/>
  <c r="B374" i="1"/>
  <c r="C374" i="1"/>
  <c r="B375" i="1"/>
  <c r="C375" i="1"/>
  <c r="B376" i="1"/>
  <c r="C376" i="1"/>
  <c r="B377" i="1"/>
  <c r="C377" i="1"/>
  <c r="B378" i="1"/>
  <c r="C378" i="1"/>
  <c r="B379" i="1"/>
  <c r="C379" i="1"/>
  <c r="B380" i="1"/>
  <c r="C380" i="1"/>
  <c r="B371" i="1"/>
  <c r="C371" i="1"/>
  <c r="P368" i="1"/>
  <c r="P369" i="1"/>
  <c r="P370" i="1"/>
  <c r="P367" i="1"/>
  <c r="L370" i="1"/>
  <c r="L369" i="1"/>
  <c r="L368" i="1"/>
  <c r="L367" i="1"/>
  <c r="B368" i="1"/>
  <c r="C368" i="1"/>
  <c r="B369" i="1"/>
  <c r="C369" i="1"/>
  <c r="B370" i="1"/>
  <c r="C370" i="1"/>
  <c r="B367" i="1"/>
  <c r="C367" i="1"/>
  <c r="O312" i="1"/>
  <c r="P365" i="1"/>
  <c r="P366" i="1"/>
  <c r="L364" i="1"/>
  <c r="L365" i="1"/>
  <c r="L366" i="1"/>
  <c r="B366" i="1"/>
  <c r="C366" i="1"/>
  <c r="L363" i="1"/>
  <c r="O332" i="1"/>
  <c r="O334" i="1"/>
  <c r="O349" i="1"/>
  <c r="O321" i="1"/>
  <c r="P364" i="1"/>
  <c r="O297" i="1"/>
  <c r="L361" i="1"/>
  <c r="L362" i="1"/>
  <c r="B361" i="1"/>
  <c r="C361" i="1"/>
  <c r="B362" i="1"/>
  <c r="C362" i="1"/>
  <c r="B363" i="1"/>
  <c r="C363" i="1"/>
  <c r="B364" i="1"/>
  <c r="C364" i="1"/>
  <c r="B365" i="1"/>
  <c r="C365" i="1"/>
  <c r="L360" i="1"/>
  <c r="P360" i="1"/>
  <c r="L359" i="1"/>
  <c r="L357" i="1"/>
  <c r="L358" i="1"/>
  <c r="B356" i="1"/>
  <c r="C356" i="1"/>
  <c r="B357" i="1"/>
  <c r="C357" i="1"/>
  <c r="B358" i="1"/>
  <c r="C358" i="1"/>
  <c r="B359" i="1"/>
  <c r="C359" i="1"/>
  <c r="B360" i="1"/>
  <c r="C360" i="1"/>
  <c r="P359" i="1"/>
  <c r="L356" i="1"/>
  <c r="L355" i="1"/>
  <c r="P341" i="1" l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B341" i="1"/>
  <c r="C341" i="1"/>
  <c r="O333" i="1"/>
  <c r="B355" i="1" l="1"/>
  <c r="C355" i="1"/>
  <c r="B354" i="1"/>
  <c r="C354" i="1"/>
  <c r="P353" i="1"/>
  <c r="B353" i="1"/>
  <c r="C353" i="1"/>
  <c r="O331" i="1"/>
  <c r="P331" i="1" s="1"/>
  <c r="P340" i="1"/>
  <c r="O347" i="1"/>
  <c r="P347" i="1" s="1"/>
  <c r="O348" i="1"/>
  <c r="P348" i="1" s="1"/>
  <c r="P352" i="1"/>
  <c r="B352" i="1"/>
  <c r="C352" i="1"/>
  <c r="P333" i="1"/>
  <c r="O325" i="1"/>
  <c r="O324" i="1"/>
  <c r="P351" i="1"/>
  <c r="B351" i="1"/>
  <c r="C351" i="1"/>
  <c r="P332" i="1"/>
  <c r="O93" i="1"/>
  <c r="O225" i="1"/>
  <c r="O310" i="1"/>
  <c r="P335" i="1"/>
  <c r="O322" i="1"/>
  <c r="O315" i="1"/>
  <c r="P342" i="1"/>
  <c r="P343" i="1"/>
  <c r="P344" i="1"/>
  <c r="P345" i="1"/>
  <c r="P346" i="1"/>
  <c r="P349" i="1"/>
  <c r="P350" i="1"/>
  <c r="O338" i="1"/>
  <c r="P338" i="1" s="1"/>
  <c r="O313" i="1"/>
  <c r="B348" i="1"/>
  <c r="C348" i="1"/>
  <c r="B349" i="1"/>
  <c r="C349" i="1"/>
  <c r="B350" i="1"/>
  <c r="C350" i="1"/>
  <c r="L340" i="1"/>
  <c r="B342" i="1"/>
  <c r="C342" i="1"/>
  <c r="B343" i="1"/>
  <c r="C343" i="1"/>
  <c r="B344" i="1"/>
  <c r="C344" i="1"/>
  <c r="B345" i="1"/>
  <c r="C345" i="1"/>
  <c r="B346" i="1"/>
  <c r="C346" i="1"/>
  <c r="B347" i="1"/>
  <c r="C347" i="1"/>
  <c r="L339" i="1"/>
  <c r="P339" i="1"/>
  <c r="L338" i="1"/>
  <c r="L337" i="1"/>
  <c r="L336" i="1"/>
  <c r="P337" i="1"/>
  <c r="P336" i="1"/>
  <c r="B337" i="1"/>
  <c r="C337" i="1"/>
  <c r="B338" i="1"/>
  <c r="C338" i="1"/>
  <c r="B339" i="1"/>
  <c r="C339" i="1"/>
  <c r="B340" i="1"/>
  <c r="C340" i="1"/>
  <c r="B336" i="1"/>
  <c r="C336" i="1"/>
  <c r="O281" i="1"/>
  <c r="O319" i="1"/>
  <c r="O305" i="1"/>
  <c r="P334" i="1"/>
  <c r="L331" i="1"/>
  <c r="B331" i="1"/>
  <c r="C331" i="1"/>
  <c r="O307" i="1"/>
  <c r="L326" i="1"/>
  <c r="P326" i="1"/>
  <c r="B326" i="1" l="1"/>
  <c r="C326" i="1"/>
  <c r="O268" i="1"/>
  <c r="P319" i="1"/>
  <c r="P320" i="1"/>
  <c r="P321" i="1"/>
  <c r="P322" i="1"/>
  <c r="P323" i="1"/>
  <c r="P324" i="1"/>
  <c r="P325" i="1"/>
  <c r="P327" i="1"/>
  <c r="P328" i="1"/>
  <c r="P329" i="1"/>
  <c r="P330" i="1"/>
  <c r="L325" i="1"/>
  <c r="L324" i="1"/>
  <c r="C325" i="1"/>
  <c r="C327" i="1"/>
  <c r="B325" i="1"/>
  <c r="B327" i="1"/>
  <c r="B324" i="1"/>
  <c r="C324" i="1"/>
  <c r="C335" i="1"/>
  <c r="B335" i="1"/>
  <c r="C334" i="1"/>
  <c r="B334" i="1"/>
  <c r="C333" i="1"/>
  <c r="B333" i="1"/>
  <c r="C332" i="1"/>
  <c r="B332" i="1"/>
  <c r="C330" i="1"/>
  <c r="B330" i="1"/>
  <c r="C329" i="1"/>
  <c r="B329" i="1"/>
  <c r="C328" i="1"/>
  <c r="B328" i="1"/>
  <c r="C323" i="1"/>
  <c r="B323" i="1"/>
  <c r="L335" i="1"/>
  <c r="L334" i="1"/>
  <c r="L333" i="1"/>
  <c r="L332" i="1"/>
  <c r="B320" i="1"/>
  <c r="C320" i="1"/>
  <c r="B321" i="1"/>
  <c r="C321" i="1"/>
  <c r="B322" i="1"/>
  <c r="C322" i="1"/>
  <c r="L330" i="1"/>
  <c r="L329" i="1"/>
  <c r="L328" i="1"/>
  <c r="L327" i="1"/>
  <c r="L318" i="1" l="1"/>
  <c r="L319" i="1"/>
  <c r="L320" i="1"/>
  <c r="L321" i="1"/>
  <c r="L322" i="1"/>
  <c r="L323" i="1"/>
  <c r="O318" i="1" l="1"/>
  <c r="P318" i="1" s="1"/>
  <c r="O263" i="1"/>
  <c r="O311" i="1"/>
  <c r="O304" i="1"/>
  <c r="O309" i="1"/>
  <c r="O269" i="1"/>
  <c r="O314" i="1"/>
  <c r="P317" i="1"/>
  <c r="L317" i="1"/>
  <c r="B317" i="1"/>
  <c r="C317" i="1"/>
  <c r="O302" i="1"/>
  <c r="P307" i="1" l="1"/>
  <c r="P308" i="1"/>
  <c r="P309" i="1"/>
  <c r="P310" i="1"/>
  <c r="P311" i="1"/>
  <c r="P313" i="1"/>
  <c r="P314" i="1"/>
  <c r="P315" i="1"/>
  <c r="P316" i="1"/>
  <c r="B319" i="1"/>
  <c r="C319" i="1"/>
  <c r="B318" i="1"/>
  <c r="C318" i="1"/>
  <c r="L316" i="1"/>
  <c r="B304" i="1"/>
  <c r="C304" i="1"/>
  <c r="B305" i="1"/>
  <c r="C305" i="1"/>
  <c r="B306" i="1"/>
  <c r="C306" i="1"/>
  <c r="B307" i="1"/>
  <c r="C307" i="1"/>
  <c r="B308" i="1"/>
  <c r="C308" i="1"/>
  <c r="B309" i="1"/>
  <c r="C309" i="1"/>
  <c r="B310" i="1"/>
  <c r="C310" i="1"/>
  <c r="B311" i="1"/>
  <c r="C311" i="1"/>
  <c r="B312" i="1"/>
  <c r="C312" i="1"/>
  <c r="B313" i="1"/>
  <c r="C313" i="1"/>
  <c r="B314" i="1"/>
  <c r="C314" i="1"/>
  <c r="B315" i="1"/>
  <c r="C315" i="1"/>
  <c r="B316" i="1"/>
  <c r="C316" i="1"/>
  <c r="L315" i="1"/>
  <c r="L307" i="1" l="1"/>
  <c r="B241" i="1"/>
  <c r="C241" i="1"/>
  <c r="P312" i="1"/>
  <c r="O298" i="1"/>
  <c r="L314" i="1"/>
  <c r="L313" i="1"/>
  <c r="L310" i="1"/>
  <c r="L311" i="1"/>
  <c r="L312" i="1"/>
  <c r="L309" i="1"/>
  <c r="O282" i="1"/>
  <c r="O306" i="1"/>
  <c r="P300" i="1"/>
  <c r="P299" i="1"/>
  <c r="L299" i="1" l="1"/>
  <c r="B299" i="1"/>
  <c r="C299" i="1"/>
  <c r="L308" i="1"/>
  <c r="O275" i="1" l="1"/>
  <c r="P304" i="1"/>
  <c r="O296" i="1"/>
  <c r="P306" i="1"/>
  <c r="O289" i="1"/>
  <c r="O283" i="1"/>
  <c r="P305" i="1"/>
  <c r="L306" i="1"/>
  <c r="L305" i="1"/>
  <c r="L304" i="1"/>
  <c r="O276" i="1"/>
  <c r="O290" i="1"/>
  <c r="O272" i="1"/>
  <c r="L302" i="1"/>
  <c r="P301" i="1" l="1"/>
  <c r="B301" i="1"/>
  <c r="C301" i="1"/>
  <c r="B302" i="1"/>
  <c r="C302" i="1"/>
  <c r="B303" i="1"/>
  <c r="C303" i="1"/>
  <c r="B296" i="1"/>
  <c r="C296" i="1"/>
  <c r="B297" i="1"/>
  <c r="C297" i="1"/>
  <c r="B298" i="1"/>
  <c r="C298" i="1"/>
  <c r="B300" i="1"/>
  <c r="C300" i="1"/>
  <c r="B295" i="1"/>
  <c r="C295" i="1"/>
  <c r="O285" i="1"/>
  <c r="P296" i="1"/>
  <c r="O277" i="1"/>
  <c r="P297" i="1"/>
  <c r="P298" i="1"/>
  <c r="P302" i="1"/>
  <c r="P303" i="1"/>
  <c r="L295" i="1"/>
  <c r="L296" i="1"/>
  <c r="L297" i="1"/>
  <c r="L298" i="1"/>
  <c r="L300" i="1"/>
  <c r="L301" i="1"/>
  <c r="L303" i="1"/>
  <c r="P295" i="1" l="1"/>
  <c r="P290" i="1"/>
  <c r="O280" i="1"/>
  <c r="P287" i="1"/>
  <c r="P288" i="1"/>
  <c r="P289" i="1"/>
  <c r="P291" i="1"/>
  <c r="P292" i="1"/>
  <c r="P293" i="1"/>
  <c r="P294" i="1"/>
  <c r="O278" i="1"/>
  <c r="L290" i="1" l="1"/>
  <c r="L291" i="1"/>
  <c r="L292" i="1"/>
  <c r="L293" i="1"/>
  <c r="L294" i="1"/>
  <c r="B290" i="1"/>
  <c r="C290" i="1"/>
  <c r="B291" i="1"/>
  <c r="C291" i="1"/>
  <c r="B292" i="1"/>
  <c r="C292" i="1"/>
  <c r="B293" i="1"/>
  <c r="C293" i="1"/>
  <c r="B294" i="1"/>
  <c r="C294" i="1"/>
  <c r="B289" i="1"/>
  <c r="C289" i="1"/>
  <c r="B288" i="1"/>
  <c r="C288" i="1"/>
  <c r="L287" i="1"/>
  <c r="L288" i="1"/>
  <c r="L289" i="1"/>
  <c r="B287" i="1"/>
  <c r="C287" i="1"/>
  <c r="O284" i="1"/>
  <c r="O273" i="1" l="1"/>
  <c r="O223" i="1" l="1"/>
  <c r="P285" i="1"/>
  <c r="P284" i="1"/>
  <c r="P280" i="1"/>
  <c r="P278" i="1"/>
  <c r="O270" i="1"/>
  <c r="O248" i="1"/>
  <c r="O230" i="1"/>
  <c r="O262" i="1"/>
  <c r="O102" i="1"/>
  <c r="P286" i="1"/>
  <c r="P279" i="1"/>
  <c r="P281" i="1"/>
  <c r="P282" i="1"/>
  <c r="P283" i="1"/>
  <c r="L286" i="1"/>
  <c r="B286" i="1"/>
  <c r="C286" i="1"/>
  <c r="L285" i="1"/>
  <c r="L284" i="1"/>
  <c r="B281" i="1"/>
  <c r="C281" i="1"/>
  <c r="B282" i="1"/>
  <c r="C282" i="1"/>
  <c r="B283" i="1"/>
  <c r="C283" i="1"/>
  <c r="B284" i="1"/>
  <c r="C284" i="1"/>
  <c r="B285" i="1"/>
  <c r="C285" i="1"/>
  <c r="B280" i="1"/>
  <c r="C280" i="1"/>
  <c r="L281" i="1"/>
  <c r="L282" i="1"/>
  <c r="L283" i="1"/>
  <c r="L280" i="1"/>
  <c r="L276" i="1"/>
  <c r="L277" i="1"/>
  <c r="L278" i="1"/>
  <c r="L279" i="1"/>
  <c r="B272" i="1"/>
  <c r="C272" i="1"/>
  <c r="B273" i="1"/>
  <c r="C273" i="1"/>
  <c r="B274" i="1"/>
  <c r="C274" i="1"/>
  <c r="B275" i="1"/>
  <c r="C275" i="1"/>
  <c r="B276" i="1"/>
  <c r="C276" i="1"/>
  <c r="B277" i="1"/>
  <c r="C277" i="1"/>
  <c r="B278" i="1"/>
  <c r="C278" i="1"/>
  <c r="B279" i="1"/>
  <c r="C279" i="1"/>
  <c r="L274" i="1"/>
  <c r="L275" i="1"/>
  <c r="P277" i="1" l="1"/>
  <c r="P275" i="1"/>
  <c r="P276" i="1"/>
  <c r="P274" i="1"/>
  <c r="P270" i="1"/>
  <c r="L273" i="1"/>
  <c r="L272" i="1"/>
  <c r="P273" i="1"/>
  <c r="O65" i="1"/>
  <c r="O261" i="1"/>
  <c r="P269" i="1"/>
  <c r="O239" i="1"/>
  <c r="O260" i="1"/>
  <c r="O271" i="1"/>
  <c r="P271" i="1" s="1"/>
  <c r="O266" i="1"/>
  <c r="P266" i="1" s="1"/>
  <c r="P272" i="1"/>
  <c r="L271" i="1"/>
  <c r="B271" i="1"/>
  <c r="C271" i="1"/>
  <c r="P267" i="1"/>
  <c r="P268" i="1"/>
  <c r="B269" i="1" l="1"/>
  <c r="C269" i="1"/>
  <c r="B270" i="1"/>
  <c r="C270" i="1"/>
  <c r="B267" i="1"/>
  <c r="C267" i="1"/>
  <c r="B268" i="1"/>
  <c r="C268" i="1"/>
  <c r="L269" i="1"/>
  <c r="L270" i="1"/>
  <c r="L268" i="1"/>
  <c r="L267" i="1"/>
  <c r="L266" i="1"/>
  <c r="B266" i="1"/>
  <c r="C266" i="1"/>
  <c r="O258" i="1"/>
  <c r="P265" i="1"/>
  <c r="B265" i="1"/>
  <c r="C265" i="1"/>
  <c r="L265" i="1"/>
  <c r="P263" i="1"/>
  <c r="P264" i="1"/>
  <c r="B255" i="1"/>
  <c r="C255" i="1"/>
  <c r="B256" i="1"/>
  <c r="C256" i="1"/>
  <c r="B257" i="1"/>
  <c r="C257" i="1"/>
  <c r="B258" i="1"/>
  <c r="C258" i="1"/>
  <c r="B259" i="1"/>
  <c r="C259" i="1"/>
  <c r="B260" i="1"/>
  <c r="C260" i="1"/>
  <c r="B261" i="1"/>
  <c r="C261" i="1"/>
  <c r="B262" i="1"/>
  <c r="C262" i="1"/>
  <c r="B263" i="1"/>
  <c r="C263" i="1"/>
  <c r="B264" i="1"/>
  <c r="C264" i="1"/>
  <c r="L264" i="1"/>
  <c r="L263" i="1"/>
  <c r="O259" i="1" l="1"/>
  <c r="O249" i="1"/>
  <c r="P262" i="1"/>
  <c r="O238" i="1"/>
  <c r="O240" i="1"/>
  <c r="L262" i="1"/>
  <c r="O236" i="1"/>
  <c r="L255" i="1"/>
  <c r="L256" i="1"/>
  <c r="L257" i="1"/>
  <c r="L258" i="1"/>
  <c r="L259" i="1"/>
  <c r="L260" i="1"/>
  <c r="L261" i="1"/>
  <c r="P258" i="1" l="1"/>
  <c r="P259" i="1"/>
  <c r="P260" i="1"/>
  <c r="P261" i="1"/>
  <c r="B254" i="1"/>
  <c r="C254" i="1"/>
  <c r="O250" i="1"/>
  <c r="P250" i="1" s="1"/>
  <c r="O241" i="1"/>
  <c r="P248" i="1"/>
  <c r="O215" i="1"/>
  <c r="P253" i="1"/>
  <c r="P254" i="1"/>
  <c r="P255" i="1"/>
  <c r="P256" i="1"/>
  <c r="P257" i="1"/>
  <c r="L254" i="1"/>
  <c r="B253" i="1"/>
  <c r="C253" i="1"/>
  <c r="L253" i="1"/>
  <c r="P249" i="1"/>
  <c r="O237" i="1"/>
  <c r="P247" i="1"/>
  <c r="L248" i="1"/>
  <c r="L249" i="1"/>
  <c r="L250" i="1"/>
  <c r="L251" i="1"/>
  <c r="L252" i="1"/>
  <c r="L247" i="1"/>
  <c r="B247" i="1"/>
  <c r="C247" i="1"/>
  <c r="B248" i="1"/>
  <c r="C248" i="1"/>
  <c r="B249" i="1"/>
  <c r="C249" i="1"/>
  <c r="B250" i="1"/>
  <c r="C250" i="1"/>
  <c r="B251" i="1"/>
  <c r="C251" i="1"/>
  <c r="B252" i="1"/>
  <c r="C252" i="1"/>
  <c r="P251" i="1"/>
  <c r="P252" i="1"/>
  <c r="L238" i="1" l="1"/>
  <c r="L239" i="1"/>
  <c r="L240" i="1"/>
  <c r="L241" i="1"/>
  <c r="L242" i="1"/>
  <c r="L243" i="1"/>
  <c r="L244" i="1"/>
  <c r="L245" i="1"/>
  <c r="L246" i="1"/>
  <c r="P240" i="1"/>
  <c r="O218" i="1"/>
  <c r="P241" i="1"/>
  <c r="P242" i="1"/>
  <c r="P243" i="1"/>
  <c r="P244" i="1"/>
  <c r="P245" i="1"/>
  <c r="P246" i="1"/>
  <c r="B240" i="1"/>
  <c r="C240" i="1"/>
  <c r="B245" i="1"/>
  <c r="C245" i="1"/>
  <c r="B246" i="1"/>
  <c r="C246" i="1"/>
  <c r="B243" i="1" l="1"/>
  <c r="C243" i="1"/>
  <c r="B244" i="1"/>
  <c r="C244" i="1"/>
  <c r="B242" i="1"/>
  <c r="C242" i="1"/>
  <c r="O226" i="1"/>
  <c r="O179" i="1"/>
  <c r="O222" i="1"/>
  <c r="O208" i="1"/>
  <c r="O227" i="1"/>
  <c r="B237" i="1"/>
  <c r="C237" i="1"/>
  <c r="B238" i="1"/>
  <c r="C238" i="1"/>
  <c r="B239" i="1"/>
  <c r="C239" i="1"/>
  <c r="O200" i="1" l="1"/>
  <c r="P238" i="1"/>
  <c r="P239" i="1"/>
  <c r="B236" i="1" l="1"/>
  <c r="C236" i="1"/>
  <c r="P237" i="1"/>
  <c r="L237" i="1"/>
  <c r="P236" i="1"/>
  <c r="L236" i="1"/>
  <c r="L235" i="1" l="1"/>
  <c r="L234" i="1"/>
  <c r="L233" i="1"/>
  <c r="P235" i="1"/>
  <c r="P234" i="1"/>
  <c r="P233" i="1"/>
  <c r="L232" i="1"/>
  <c r="B232" i="1"/>
  <c r="C232" i="1"/>
  <c r="B233" i="1"/>
  <c r="C233" i="1"/>
  <c r="B234" i="1"/>
  <c r="C234" i="1"/>
  <c r="B235" i="1"/>
  <c r="C235" i="1"/>
  <c r="P232" i="1"/>
  <c r="P229" i="1"/>
  <c r="P230" i="1"/>
  <c r="P231" i="1"/>
  <c r="L231" i="1"/>
  <c r="L230" i="1"/>
  <c r="B231" i="1"/>
  <c r="C231" i="1"/>
  <c r="B230" i="1"/>
  <c r="C230" i="1"/>
  <c r="O153" i="1"/>
  <c r="O220" i="1"/>
  <c r="O174" i="1"/>
  <c r="O209" i="1"/>
  <c r="O182" i="1"/>
  <c r="L229" i="1" l="1"/>
  <c r="B229" i="1"/>
  <c r="C229" i="1"/>
  <c r="O201" i="1" l="1"/>
  <c r="O195" i="1"/>
  <c r="O138" i="1"/>
  <c r="O83" i="1" l="1"/>
  <c r="P174" i="1"/>
  <c r="P226" i="1"/>
  <c r="O212" i="1"/>
  <c r="L228" i="1"/>
  <c r="P228" i="1"/>
  <c r="B228" i="1"/>
  <c r="C228" i="1"/>
  <c r="O211" i="1"/>
  <c r="O219" i="1"/>
  <c r="P225" i="1"/>
  <c r="O224" i="1"/>
  <c r="P227" i="1"/>
  <c r="L227" i="1"/>
  <c r="L226" i="1"/>
  <c r="B227" i="1"/>
  <c r="C227" i="1"/>
  <c r="B226" i="1"/>
  <c r="C226" i="1"/>
  <c r="L225" i="1"/>
  <c r="B225" i="1"/>
  <c r="C225" i="1"/>
  <c r="O122" i="1"/>
  <c r="O160" i="1"/>
  <c r="O210" i="1"/>
  <c r="O216" i="1"/>
  <c r="O178" i="1"/>
  <c r="O202" i="1"/>
  <c r="B216" i="1" l="1"/>
  <c r="C216" i="1"/>
  <c r="B217" i="1"/>
  <c r="C217" i="1"/>
  <c r="B218" i="1"/>
  <c r="C218" i="1"/>
  <c r="B219" i="1"/>
  <c r="C219" i="1"/>
  <c r="L215" i="1"/>
  <c r="L216" i="1"/>
  <c r="L217" i="1"/>
  <c r="L218" i="1"/>
  <c r="L219" i="1"/>
  <c r="L220" i="1"/>
  <c r="P219" i="1"/>
  <c r="P218" i="1"/>
  <c r="P217" i="1"/>
  <c r="P216" i="1"/>
  <c r="P215" i="1"/>
  <c r="B215" i="1"/>
  <c r="C215" i="1"/>
  <c r="P211" i="1"/>
  <c r="P212" i="1"/>
  <c r="P213" i="1"/>
  <c r="P214" i="1"/>
  <c r="P220" i="1"/>
  <c r="P221" i="1"/>
  <c r="P222" i="1"/>
  <c r="P223" i="1"/>
  <c r="P224" i="1"/>
  <c r="P210" i="1"/>
  <c r="L224" i="1"/>
  <c r="L223" i="1"/>
  <c r="L222" i="1"/>
  <c r="L221" i="1"/>
  <c r="B221" i="1"/>
  <c r="C221" i="1"/>
  <c r="B222" i="1"/>
  <c r="C222" i="1"/>
  <c r="B223" i="1"/>
  <c r="C223" i="1"/>
  <c r="B224" i="1"/>
  <c r="C224" i="1"/>
  <c r="B220" i="1"/>
  <c r="C220" i="1"/>
  <c r="L214" i="1"/>
  <c r="L212" i="1"/>
  <c r="L211" i="1"/>
  <c r="L210" i="1"/>
  <c r="B211" i="1"/>
  <c r="C211" i="1"/>
  <c r="B212" i="1"/>
  <c r="C212" i="1"/>
  <c r="B213" i="1"/>
  <c r="C213" i="1"/>
  <c r="B214" i="1"/>
  <c r="C214" i="1"/>
  <c r="L213" i="1"/>
  <c r="B200" i="1"/>
  <c r="C200" i="1"/>
  <c r="B201" i="1"/>
  <c r="C201" i="1"/>
  <c r="B202" i="1"/>
  <c r="C202" i="1"/>
  <c r="B203" i="1"/>
  <c r="C203" i="1"/>
  <c r="B204" i="1"/>
  <c r="C204" i="1"/>
  <c r="B205" i="1"/>
  <c r="C205" i="1"/>
  <c r="B206" i="1"/>
  <c r="C206" i="1"/>
  <c r="B207" i="1"/>
  <c r="C207" i="1"/>
  <c r="B208" i="1"/>
  <c r="C208" i="1"/>
  <c r="B209" i="1"/>
  <c r="C209" i="1"/>
  <c r="B210" i="1"/>
  <c r="C210" i="1"/>
  <c r="P209" i="1"/>
  <c r="L209" i="1"/>
  <c r="O205" i="1"/>
  <c r="O170" i="1"/>
  <c r="O166" i="1"/>
  <c r="P208" i="1"/>
  <c r="P206" i="1"/>
  <c r="P207" i="1"/>
  <c r="O203" i="1"/>
  <c r="L208" i="1"/>
  <c r="L207" i="1"/>
  <c r="L206" i="1"/>
  <c r="O135" i="1" l="1"/>
  <c r="O158" i="1"/>
  <c r="P202" i="1" l="1"/>
  <c r="O190" i="1"/>
  <c r="O188" i="1"/>
  <c r="P201" i="1"/>
  <c r="L204" i="1"/>
  <c r="L205" i="1"/>
  <c r="P205" i="1"/>
  <c r="O148" i="1"/>
  <c r="P204" i="1"/>
  <c r="L203" i="1"/>
  <c r="L202" i="1"/>
  <c r="P203" i="1"/>
  <c r="O180" i="1"/>
  <c r="O199" i="1"/>
  <c r="O189" i="1"/>
  <c r="L199" i="1"/>
  <c r="L200" i="1"/>
  <c r="L201" i="1"/>
  <c r="P200" i="1"/>
  <c r="B199" i="1" l="1"/>
  <c r="C199" i="1"/>
  <c r="P197" i="1"/>
  <c r="P198" i="1"/>
  <c r="P199" i="1"/>
  <c r="L198" i="1"/>
  <c r="L197" i="1"/>
  <c r="B197" i="1"/>
  <c r="C197" i="1"/>
  <c r="B198" i="1"/>
  <c r="C198" i="1"/>
  <c r="O108" i="1"/>
  <c r="O176" i="1"/>
  <c r="P194" i="1"/>
  <c r="P195" i="1"/>
  <c r="P196" i="1"/>
  <c r="L196" i="1"/>
  <c r="L195" i="1"/>
  <c r="L194" i="1"/>
  <c r="B194" i="1"/>
  <c r="C194" i="1"/>
  <c r="B195" i="1"/>
  <c r="C195" i="1"/>
  <c r="B196" i="1"/>
  <c r="C196" i="1"/>
  <c r="P193" i="1"/>
  <c r="L193" i="1"/>
  <c r="C193" i="1"/>
  <c r="B193" i="1"/>
  <c r="P180" i="1"/>
  <c r="O175" i="1"/>
  <c r="C192" i="1" l="1"/>
  <c r="L180" i="1"/>
  <c r="B180" i="1"/>
  <c r="C180" i="1"/>
  <c r="O129" i="1" l="1"/>
  <c r="P188" i="1"/>
  <c r="P189" i="1"/>
  <c r="P190" i="1"/>
  <c r="P191" i="1"/>
  <c r="P192" i="1"/>
  <c r="B192" i="1"/>
  <c r="L190" i="1"/>
  <c r="L191" i="1"/>
  <c r="L192" i="1"/>
  <c r="L189" i="1"/>
  <c r="C191" i="1"/>
  <c r="B191" i="1"/>
  <c r="L188" i="1"/>
  <c r="B188" i="1"/>
  <c r="C188" i="1"/>
  <c r="B189" i="1"/>
  <c r="C189" i="1"/>
  <c r="B190" i="1"/>
  <c r="C190" i="1"/>
  <c r="P179" i="1"/>
  <c r="P181" i="1"/>
  <c r="P182" i="1"/>
  <c r="O47" i="1"/>
  <c r="O48" i="1"/>
  <c r="L182" i="1" l="1"/>
  <c r="L181" i="1"/>
  <c r="O187" i="1"/>
  <c r="P187" i="1" s="1"/>
  <c r="C179" i="1"/>
  <c r="C181" i="1"/>
  <c r="C182" i="1"/>
  <c r="C183" i="1"/>
  <c r="C184" i="1"/>
  <c r="C185" i="1"/>
  <c r="C186" i="1"/>
  <c r="C187" i="1"/>
  <c r="B179" i="1"/>
  <c r="B181" i="1"/>
  <c r="B182" i="1"/>
  <c r="B183" i="1"/>
  <c r="B184" i="1"/>
  <c r="B185" i="1"/>
  <c r="B186" i="1"/>
  <c r="B187" i="1"/>
  <c r="L187" i="1"/>
  <c r="P178" i="1"/>
  <c r="L179" i="1"/>
  <c r="L178" i="1"/>
  <c r="C178" i="1"/>
  <c r="B178" i="1"/>
  <c r="P184" i="1"/>
  <c r="L184" i="1"/>
  <c r="P185" i="1"/>
  <c r="P186" i="1"/>
  <c r="L186" i="1"/>
  <c r="L185" i="1"/>
  <c r="O167" i="1"/>
  <c r="P175" i="1"/>
  <c r="O156" i="1"/>
  <c r="L183" i="1"/>
  <c r="L177" i="1"/>
  <c r="L176" i="1"/>
  <c r="L175" i="1"/>
  <c r="O169" i="1" l="1"/>
  <c r="P183" i="1"/>
  <c r="O165" i="1"/>
  <c r="O46" i="1" l="1"/>
  <c r="P176" i="1" l="1"/>
  <c r="P177" i="1"/>
  <c r="C176" i="1"/>
  <c r="B176" i="1"/>
  <c r="B175" i="1"/>
  <c r="C175" i="1"/>
  <c r="O171" i="1"/>
  <c r="O161" i="1"/>
  <c r="B154" i="1" l="1"/>
  <c r="C154" i="1"/>
  <c r="L154" i="1"/>
  <c r="O154" i="1"/>
  <c r="P154" i="1" s="1"/>
  <c r="B152" i="1"/>
  <c r="C152" i="1"/>
  <c r="L152" i="1"/>
  <c r="P152" i="1"/>
  <c r="L170" i="1"/>
  <c r="P170" i="1"/>
  <c r="B170" i="1"/>
  <c r="C170" i="1"/>
  <c r="P156" i="1"/>
  <c r="L174" i="1"/>
  <c r="C174" i="1"/>
  <c r="B174" i="1"/>
  <c r="P153" i="1"/>
  <c r="O119" i="1"/>
  <c r="P165" i="1"/>
  <c r="B172" i="1"/>
  <c r="C172" i="1"/>
  <c r="O164" i="1"/>
  <c r="P164" i="1" s="1"/>
  <c r="P173" i="1"/>
  <c r="L173" i="1"/>
  <c r="C173" i="1"/>
  <c r="B173" i="1"/>
  <c r="P161" i="1"/>
  <c r="B171" i="1"/>
  <c r="C171" i="1"/>
  <c r="O139" i="1"/>
  <c r="P167" i="1"/>
  <c r="O159" i="1"/>
  <c r="P159" i="1" s="1"/>
  <c r="O157" i="1"/>
  <c r="P157" i="1" s="1"/>
  <c r="O137" i="1"/>
  <c r="P160" i="1"/>
  <c r="P162" i="1"/>
  <c r="P163" i="1"/>
  <c r="P166" i="1"/>
  <c r="P168" i="1"/>
  <c r="P169" i="1"/>
  <c r="P171" i="1"/>
  <c r="P172" i="1"/>
  <c r="B161" i="1"/>
  <c r="C161" i="1"/>
  <c r="B162" i="1"/>
  <c r="C162" i="1"/>
  <c r="B163" i="1"/>
  <c r="C163" i="1"/>
  <c r="B164" i="1"/>
  <c r="C164" i="1"/>
  <c r="B165" i="1"/>
  <c r="C165" i="1"/>
  <c r="B166" i="1"/>
  <c r="C166" i="1"/>
  <c r="B167" i="1"/>
  <c r="C167" i="1"/>
  <c r="B168" i="1"/>
  <c r="C168" i="1"/>
  <c r="B169" i="1"/>
  <c r="C169" i="1"/>
  <c r="L161" i="1"/>
  <c r="L162" i="1"/>
  <c r="L163" i="1"/>
  <c r="L164" i="1"/>
  <c r="L165" i="1"/>
  <c r="L166" i="1"/>
  <c r="L167" i="1"/>
  <c r="L168" i="1"/>
  <c r="L169" i="1"/>
  <c r="L171" i="1"/>
  <c r="L172" i="1"/>
  <c r="O155" i="1"/>
  <c r="P155" i="1" s="1"/>
  <c r="O146" i="1"/>
  <c r="L160" i="1"/>
  <c r="O104" i="1"/>
  <c r="B160" i="1"/>
  <c r="C160" i="1"/>
  <c r="O134" i="1"/>
  <c r="L155" i="1"/>
  <c r="L156" i="1"/>
  <c r="L157" i="1"/>
  <c r="B156" i="1"/>
  <c r="C156" i="1"/>
  <c r="B157" i="1"/>
  <c r="C157" i="1"/>
  <c r="B155" i="1"/>
  <c r="C155" i="1"/>
  <c r="O133" i="1"/>
  <c r="O109" i="1"/>
  <c r="O91" i="1"/>
  <c r="O81" i="1"/>
  <c r="P158" i="1"/>
  <c r="L159" i="1"/>
  <c r="L158" i="1"/>
  <c r="B159" i="1"/>
  <c r="C159" i="1"/>
  <c r="B158" i="1"/>
  <c r="C158" i="1"/>
  <c r="O114" i="1"/>
  <c r="O132" i="1"/>
  <c r="C148" i="1"/>
  <c r="B148" i="1"/>
  <c r="C147" i="1"/>
  <c r="B147" i="1"/>
  <c r="O136" i="1"/>
  <c r="O128" i="1"/>
  <c r="O131" i="1"/>
  <c r="B153" i="1"/>
  <c r="C153" i="1"/>
  <c r="L153" i="1"/>
  <c r="B150" i="1"/>
  <c r="P149" i="1" l="1"/>
  <c r="P150" i="1"/>
  <c r="P151" i="1"/>
  <c r="B149" i="1"/>
  <c r="C149" i="1"/>
  <c r="C150" i="1"/>
  <c r="B151" i="1"/>
  <c r="C151" i="1"/>
  <c r="L151" i="1"/>
  <c r="L150" i="1"/>
  <c r="L149" i="1"/>
  <c r="P148" i="1" l="1"/>
  <c r="P147" i="1"/>
  <c r="P146" i="1"/>
  <c r="P145" i="1"/>
  <c r="P144" i="1"/>
  <c r="P143" i="1"/>
  <c r="P142" i="1"/>
  <c r="P141" i="1"/>
  <c r="P140" i="1"/>
  <c r="P139" i="1"/>
  <c r="P138" i="1"/>
  <c r="L142" i="1"/>
  <c r="L143" i="1"/>
  <c r="L144" i="1"/>
  <c r="L145" i="1"/>
  <c r="L146" i="1"/>
  <c r="L147" i="1"/>
  <c r="L148" i="1"/>
  <c r="L141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L139" i="1"/>
  <c r="L140" i="1"/>
  <c r="L138" i="1" l="1"/>
  <c r="L137" i="1"/>
  <c r="P137" i="1"/>
  <c r="O123" i="1"/>
  <c r="O121" i="1"/>
  <c r="P133" i="1"/>
  <c r="P134" i="1"/>
  <c r="P135" i="1"/>
  <c r="P136" i="1"/>
  <c r="L134" i="1"/>
  <c r="L135" i="1"/>
  <c r="L136" i="1"/>
  <c r="L133" i="1"/>
  <c r="O130" i="1"/>
  <c r="O107" i="1"/>
  <c r="O125" i="1"/>
  <c r="O80" i="1" l="1"/>
  <c r="O124" i="1"/>
  <c r="O120" i="1" l="1"/>
  <c r="O115" i="1"/>
  <c r="O106" i="1" l="1"/>
  <c r="O86" i="1"/>
  <c r="O101" i="1"/>
  <c r="P108" i="1"/>
  <c r="O118" i="1"/>
  <c r="B124" i="1"/>
  <c r="C124" i="1"/>
  <c r="B125" i="1"/>
  <c r="C125" i="1"/>
  <c r="B126" i="1"/>
  <c r="C126" i="1"/>
  <c r="C127" i="1"/>
  <c r="C128" i="1"/>
  <c r="C129" i="1"/>
  <c r="B123" i="1"/>
  <c r="C123" i="1"/>
  <c r="O89" i="1" l="1"/>
  <c r="L132" i="1"/>
  <c r="P132" i="1"/>
  <c r="P128" i="1"/>
  <c r="P129" i="1"/>
  <c r="P130" i="1"/>
  <c r="P131" i="1"/>
  <c r="L128" i="1"/>
  <c r="L129" i="1"/>
  <c r="L130" i="1"/>
  <c r="L131" i="1"/>
  <c r="P123" i="1" l="1"/>
  <c r="L123" i="1" l="1"/>
  <c r="L124" i="1"/>
  <c r="L125" i="1"/>
  <c r="L126" i="1"/>
  <c r="L127" i="1"/>
  <c r="P127" i="1"/>
  <c r="O87" i="1"/>
  <c r="B117" i="1"/>
  <c r="C117" i="1"/>
  <c r="P114" i="1"/>
  <c r="L114" i="1"/>
  <c r="B114" i="1"/>
  <c r="C114" i="1"/>
  <c r="P126" i="1"/>
  <c r="P125" i="1" l="1"/>
  <c r="O112" i="1" l="1"/>
  <c r="P122" i="1" l="1"/>
  <c r="P124" i="1"/>
  <c r="L122" i="1"/>
  <c r="B122" i="1"/>
  <c r="C122" i="1"/>
  <c r="P112" i="1"/>
  <c r="O116" i="1"/>
  <c r="P116" i="1" s="1"/>
  <c r="P121" i="1"/>
  <c r="C116" i="1"/>
  <c r="B116" i="1"/>
  <c r="C115" i="1"/>
  <c r="B115" i="1"/>
  <c r="C119" i="1"/>
  <c r="B119" i="1"/>
  <c r="C118" i="1"/>
  <c r="B118" i="1"/>
  <c r="C121" i="1"/>
  <c r="B121" i="1"/>
  <c r="L121" i="1"/>
  <c r="P115" i="1"/>
  <c r="P117" i="1"/>
  <c r="P118" i="1"/>
  <c r="P119" i="1"/>
  <c r="P120" i="1"/>
  <c r="L120" i="1"/>
  <c r="L119" i="1"/>
  <c r="L118" i="1"/>
  <c r="L117" i="1"/>
  <c r="L116" i="1"/>
  <c r="L115" i="1"/>
  <c r="P111" i="1"/>
  <c r="L111" i="1"/>
  <c r="B111" i="1"/>
  <c r="C111" i="1"/>
  <c r="B112" i="1"/>
  <c r="C112" i="1"/>
  <c r="B113" i="1"/>
  <c r="C113" i="1"/>
  <c r="P113" i="1"/>
  <c r="L113" i="1"/>
  <c r="L112" i="1"/>
  <c r="L110" i="1"/>
  <c r="P110" i="1"/>
  <c r="L109" i="1"/>
  <c r="L108" i="1"/>
  <c r="P109" i="1"/>
  <c r="B108" i="1"/>
  <c r="C108" i="1"/>
  <c r="B109" i="1"/>
  <c r="C109" i="1"/>
  <c r="B110" i="1"/>
  <c r="C110" i="1"/>
  <c r="L80" i="1"/>
  <c r="P81" i="1"/>
  <c r="O69" i="1"/>
  <c r="O99" i="1" l="1"/>
  <c r="P99" i="1" s="1"/>
  <c r="L107" i="1"/>
  <c r="L106" i="1"/>
  <c r="P107" i="1"/>
  <c r="P106" i="1"/>
  <c r="B107" i="1"/>
  <c r="C107" i="1"/>
  <c r="B106" i="1"/>
  <c r="C106" i="1"/>
  <c r="P100" i="1"/>
  <c r="P101" i="1"/>
  <c r="P102" i="1"/>
  <c r="P103" i="1"/>
  <c r="P104" i="1"/>
  <c r="P98" i="1"/>
  <c r="P105" i="1"/>
  <c r="L105" i="1"/>
  <c r="B105" i="1"/>
  <c r="C105" i="1"/>
  <c r="L104" i="1" l="1"/>
  <c r="L103" i="1"/>
  <c r="L102" i="1"/>
  <c r="B104" i="1"/>
  <c r="C104" i="1"/>
  <c r="C103" i="1"/>
  <c r="B103" i="1"/>
  <c r="B102" i="1"/>
  <c r="C102" i="1"/>
  <c r="L101" i="1" l="1"/>
  <c r="B101" i="1"/>
  <c r="C101" i="1"/>
  <c r="L100" i="1"/>
  <c r="B100" i="1"/>
  <c r="C100" i="1"/>
  <c r="C98" i="1"/>
  <c r="L99" i="1"/>
  <c r="C99" i="1"/>
  <c r="B99" i="1"/>
  <c r="L98" i="1"/>
  <c r="B98" i="1"/>
  <c r="O97" i="1" l="1"/>
  <c r="P97" i="1" s="1"/>
  <c r="O50" i="1"/>
  <c r="O68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6" i="1"/>
  <c r="P80" i="1" l="1"/>
  <c r="O88" i="1"/>
  <c r="P90" i="1"/>
  <c r="L90" i="1"/>
  <c r="B97" i="1"/>
  <c r="P95" i="1"/>
  <c r="B95" i="1"/>
  <c r="L97" i="1"/>
  <c r="O51" i="1"/>
  <c r="P96" i="1"/>
  <c r="L96" i="1"/>
  <c r="B96" i="1"/>
  <c r="O42" i="1"/>
  <c r="O63" i="1"/>
  <c r="P68" i="1"/>
  <c r="P75" i="1"/>
  <c r="P74" i="1"/>
  <c r="P94" i="1"/>
  <c r="L94" i="1" l="1"/>
  <c r="B94" i="1"/>
  <c r="O62" i="1"/>
  <c r="L93" i="1"/>
  <c r="P93" i="1"/>
  <c r="L92" i="1"/>
  <c r="P92" i="1"/>
  <c r="L91" i="1"/>
  <c r="P91" i="1"/>
  <c r="B93" i="1"/>
  <c r="B92" i="1"/>
  <c r="B91" i="1"/>
  <c r="B89" i="1"/>
  <c r="B88" i="1"/>
  <c r="B87" i="1"/>
  <c r="B86" i="1" l="1"/>
  <c r="O55" i="1"/>
  <c r="O66" i="1"/>
  <c r="P66" i="1" s="1"/>
  <c r="B85" i="1" l="1"/>
  <c r="B84" i="1"/>
  <c r="B83" i="1"/>
  <c r="O43" i="1"/>
  <c r="P82" i="1" l="1"/>
  <c r="P71" i="1"/>
  <c r="L71" i="1"/>
  <c r="B71" i="1"/>
  <c r="B72" i="1"/>
  <c r="B73" i="1"/>
  <c r="B74" i="1"/>
  <c r="B75" i="1"/>
  <c r="B76" i="1"/>
  <c r="B77" i="1"/>
  <c r="B78" i="1"/>
  <c r="B79" i="1"/>
  <c r="B80" i="1"/>
  <c r="B81" i="1"/>
  <c r="B82" i="1"/>
  <c r="O61" i="1" l="1"/>
  <c r="L62" i="1" l="1"/>
  <c r="L63" i="1"/>
  <c r="L64" i="1"/>
  <c r="L65" i="1"/>
  <c r="L66" i="1"/>
  <c r="L67" i="1"/>
  <c r="L68" i="1"/>
  <c r="L69" i="1"/>
  <c r="L70" i="1"/>
  <c r="B70" i="1"/>
  <c r="P69" i="1" l="1"/>
  <c r="B69" i="1"/>
  <c r="B68" i="1"/>
  <c r="O52" i="1" l="1"/>
  <c r="O19" i="1"/>
  <c r="O53" i="1"/>
  <c r="O56" i="1" l="1"/>
  <c r="B67" i="1"/>
  <c r="B66" i="1"/>
  <c r="B64" i="1" l="1"/>
  <c r="B63" i="1"/>
  <c r="O44" i="1"/>
  <c r="O36" i="1"/>
  <c r="O24" i="1"/>
  <c r="O10" i="1"/>
  <c r="O6" i="1"/>
  <c r="B65" i="1" l="1"/>
  <c r="B60" i="1"/>
  <c r="B61" i="1"/>
  <c r="B62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9" i="1"/>
  <c r="B10" i="1"/>
  <c r="B11" i="1"/>
  <c r="B12" i="1"/>
  <c r="B13" i="1"/>
  <c r="B8" i="1"/>
  <c r="B7" i="1"/>
  <c r="B6" i="1"/>
  <c r="O13" i="1" l="1"/>
  <c r="P46" i="1" l="1"/>
  <c r="P47" i="1"/>
  <c r="P48" i="1"/>
  <c r="O17" i="1"/>
  <c r="O37" i="1" l="1"/>
  <c r="L54" i="1"/>
  <c r="L48" i="1"/>
  <c r="L47" i="1"/>
  <c r="L46" i="1"/>
  <c r="O49" i="1"/>
  <c r="O34" i="1" l="1"/>
  <c r="L59" i="1" l="1"/>
  <c r="L60" i="1"/>
  <c r="O9" i="1"/>
  <c r="L57" i="1" l="1"/>
  <c r="O8" i="1" l="1"/>
  <c r="O41" i="1" l="1"/>
  <c r="O40" i="1"/>
  <c r="O18" i="1" l="1"/>
  <c r="O14" i="1"/>
  <c r="O29" i="1" l="1"/>
  <c r="O38" i="1" l="1"/>
  <c r="O21" i="1" l="1"/>
  <c r="O32" i="1"/>
  <c r="O30" i="1"/>
  <c r="O20" i="1" l="1"/>
  <c r="L32" i="1" l="1"/>
  <c r="P32" i="1"/>
  <c r="L30" i="1"/>
  <c r="P30" i="1"/>
  <c r="O16" i="1" l="1"/>
  <c r="P10" i="1" l="1"/>
  <c r="L17" i="1" l="1"/>
  <c r="P17" i="1"/>
  <c r="L18" i="1"/>
  <c r="P18" i="1"/>
  <c r="L19" i="1"/>
  <c r="P19" i="1"/>
  <c r="L20" i="1"/>
  <c r="P20" i="1"/>
  <c r="L21" i="1"/>
  <c r="P21" i="1"/>
  <c r="L22" i="1"/>
  <c r="P22" i="1"/>
  <c r="L23" i="1"/>
  <c r="P23" i="1"/>
  <c r="L24" i="1"/>
  <c r="P24" i="1"/>
  <c r="L25" i="1"/>
  <c r="P25" i="1"/>
  <c r="L26" i="1"/>
  <c r="P26" i="1"/>
  <c r="L27" i="1"/>
  <c r="P27" i="1"/>
  <c r="L28" i="1"/>
  <c r="P28" i="1"/>
  <c r="P29" i="1"/>
  <c r="L31" i="1"/>
  <c r="P31" i="1"/>
  <c r="L33" i="1"/>
  <c r="P33" i="1"/>
  <c r="L34" i="1"/>
  <c r="P34" i="1"/>
  <c r="L35" i="1"/>
  <c r="P35" i="1"/>
  <c r="L36" i="1"/>
  <c r="P36" i="1"/>
  <c r="L37" i="1"/>
  <c r="P37" i="1"/>
  <c r="L38" i="1"/>
  <c r="P38" i="1"/>
  <c r="L39" i="1"/>
  <c r="P39" i="1"/>
  <c r="L40" i="1"/>
  <c r="P40" i="1"/>
  <c r="L41" i="1"/>
  <c r="P41" i="1"/>
  <c r="L42" i="1"/>
  <c r="P42" i="1"/>
  <c r="L43" i="1"/>
  <c r="P43" i="1"/>
  <c r="L44" i="1"/>
  <c r="P44" i="1"/>
  <c r="L45" i="1"/>
  <c r="P45" i="1"/>
  <c r="L49" i="1"/>
  <c r="P49" i="1"/>
  <c r="L50" i="1"/>
  <c r="P50" i="1"/>
  <c r="L51" i="1"/>
  <c r="P51" i="1"/>
  <c r="L52" i="1"/>
  <c r="P52" i="1"/>
  <c r="L53" i="1"/>
  <c r="P53" i="1"/>
  <c r="P54" i="1"/>
  <c r="L55" i="1"/>
  <c r="P55" i="1"/>
  <c r="L56" i="1"/>
  <c r="P56" i="1"/>
  <c r="P57" i="1"/>
  <c r="L58" i="1"/>
  <c r="P58" i="1"/>
  <c r="P59" i="1"/>
  <c r="P60" i="1"/>
  <c r="L61" i="1"/>
  <c r="P61" i="1"/>
  <c r="P62" i="1"/>
  <c r="P65" i="1"/>
  <c r="P63" i="1"/>
  <c r="P64" i="1"/>
  <c r="P67" i="1"/>
  <c r="P70" i="1"/>
  <c r="L72" i="1"/>
  <c r="P72" i="1"/>
  <c r="L73" i="1"/>
  <c r="P73" i="1"/>
  <c r="L74" i="1"/>
  <c r="L75" i="1"/>
  <c r="L76" i="1"/>
  <c r="P76" i="1"/>
  <c r="L77" i="1"/>
  <c r="P77" i="1"/>
  <c r="L78" i="1"/>
  <c r="P78" i="1"/>
  <c r="L79" i="1"/>
  <c r="P79" i="1"/>
  <c r="L82" i="1"/>
  <c r="L83" i="1"/>
  <c r="P83" i="1"/>
  <c r="L84" i="1"/>
  <c r="P84" i="1"/>
  <c r="L85" i="1"/>
  <c r="P85" i="1"/>
  <c r="L86" i="1"/>
  <c r="P86" i="1"/>
  <c r="L87" i="1"/>
  <c r="P87" i="1"/>
  <c r="L88" i="1"/>
  <c r="P88" i="1"/>
  <c r="L89" i="1"/>
  <c r="P89" i="1"/>
  <c r="P16" i="1"/>
  <c r="L15" i="1"/>
  <c r="L16" i="1"/>
  <c r="P15" i="1"/>
  <c r="P11" i="1" l="1"/>
  <c r="P12" i="1"/>
  <c r="P13" i="1"/>
  <c r="P14" i="1"/>
  <c r="L14" i="1"/>
  <c r="L13" i="1"/>
  <c r="L12" i="1"/>
  <c r="L11" i="1" l="1"/>
  <c r="L10" i="1" l="1"/>
  <c r="L8" i="1"/>
  <c r="P9" i="1" l="1"/>
  <c r="P7" i="1"/>
  <c r="P8" i="1"/>
  <c r="P6" i="1"/>
  <c r="L9" i="1" l="1"/>
  <c r="L7" i="1"/>
  <c r="L6" i="1"/>
  <c r="M6" i="1" s="1"/>
  <c r="M7" i="1" l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l="1"/>
  <c r="M31" i="1" s="1"/>
  <c r="M32" i="1" l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l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l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s="1"/>
  <c r="M427" i="1" s="1"/>
  <c r="M428" i="1" s="1"/>
  <c r="M429" i="1" s="1"/>
  <c r="M430" i="1" s="1"/>
  <c r="M431" i="1" s="1"/>
  <c r="M43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audrinayoo</author>
  </authors>
  <commentList>
    <comment ref="F13" authorId="0" shapeId="0" xr:uid="{074E8386-F585-4F9C-BD4B-5AE2D888D97F}">
      <text>
        <r>
          <rPr>
            <b/>
            <sz val="9"/>
            <color indexed="81"/>
            <rFont val="Tahoma"/>
            <family val="2"/>
          </rPr>
          <t>audrinayoo:</t>
        </r>
        <r>
          <rPr>
            <sz val="9"/>
            <color indexed="81"/>
            <rFont val="Tahoma"/>
            <family val="2"/>
          </rPr>
          <t xml:space="preserve">
RA CSM 450 GSM
 54kg 64m(L) X 1860mm(W)</t>
        </r>
      </text>
    </comment>
  </commentList>
</comments>
</file>

<file path=xl/sharedStrings.xml><?xml version="1.0" encoding="utf-8"?>
<sst xmlns="http://schemas.openxmlformats.org/spreadsheetml/2006/main" count="4600" uniqueCount="1200">
  <si>
    <t>Drum</t>
  </si>
  <si>
    <t>Roll</t>
  </si>
  <si>
    <t>Chemitjaya Sdn Bhd</t>
  </si>
  <si>
    <t>Inventory</t>
  </si>
  <si>
    <t>Unit Price</t>
  </si>
  <si>
    <t>Amount (RM)</t>
  </si>
  <si>
    <t>Date</t>
  </si>
  <si>
    <t>Cumulative (RM)</t>
  </si>
  <si>
    <t>Date (out)</t>
  </si>
  <si>
    <t>DO No</t>
  </si>
  <si>
    <t>Chemrex</t>
  </si>
  <si>
    <t>Supplier</t>
  </si>
  <si>
    <t>Product Code</t>
  </si>
  <si>
    <t>RA CSM 450 GSM JUSHI 37kg 79m(L) X 1040mm(W)</t>
  </si>
  <si>
    <t>RA Resin SHCP 268W (225kg)</t>
  </si>
  <si>
    <t>RA Resin SHCP 268NW (225kg)</t>
  </si>
  <si>
    <t>RA Gelcoat GP-H (20kg)</t>
  </si>
  <si>
    <t>RA Gelcoat GS-S ISO (20kg)</t>
  </si>
  <si>
    <t>Pail</t>
  </si>
  <si>
    <t>RA Butanox M50 (5kg)</t>
  </si>
  <si>
    <t>G-FRP</t>
  </si>
  <si>
    <t>RB Acetone (160Kg)</t>
  </si>
  <si>
    <t>2/6</t>
  </si>
  <si>
    <t>DO03</t>
  </si>
  <si>
    <t>11/6</t>
  </si>
  <si>
    <t>Bottle</t>
  </si>
  <si>
    <t>Remark</t>
  </si>
  <si>
    <t>Stock (out)</t>
  </si>
  <si>
    <t>RA Talcum Powder (25kg)</t>
  </si>
  <si>
    <t>RA Nor 3338W (220Kg)</t>
  </si>
  <si>
    <t>Bags</t>
  </si>
  <si>
    <t>RA Nor 3338NW (220Kg)</t>
  </si>
  <si>
    <t>Delivery mode</t>
  </si>
  <si>
    <t>Silicone Rubber (25Kg)</t>
  </si>
  <si>
    <t>DO07(1)</t>
  </si>
  <si>
    <t>DO08(1)</t>
  </si>
  <si>
    <t>My East</t>
  </si>
  <si>
    <t>RC Woven Roving E-800 1000mm (40Kg)</t>
  </si>
  <si>
    <t>RA</t>
  </si>
  <si>
    <t>RB</t>
  </si>
  <si>
    <t>RC</t>
  </si>
  <si>
    <t>=</t>
  </si>
  <si>
    <t>DO08(1), DO09(2), DO10(1)</t>
  </si>
  <si>
    <t>15/7, 1/8, 7/8</t>
  </si>
  <si>
    <t>14/7</t>
  </si>
  <si>
    <t>22/7</t>
  </si>
  <si>
    <t>DO02(2)</t>
  </si>
  <si>
    <t>Delivered</t>
  </si>
  <si>
    <t>13/8</t>
  </si>
  <si>
    <t>DO15(4)</t>
  </si>
  <si>
    <t>RA CSM 300 GSM 54Kg 96m(L) X 1860mm(W)</t>
  </si>
  <si>
    <t>Ex</t>
  </si>
  <si>
    <t>DO18(2)</t>
  </si>
  <si>
    <t>22/8,</t>
  </si>
  <si>
    <t>DO14(2)</t>
  </si>
  <si>
    <t>RA Gelcoat GS-H (20kg)</t>
  </si>
  <si>
    <t>DO10(1), DO12(1), DO13(2), DO14(1), DO17(1), DO19(1), DO20(1)</t>
  </si>
  <si>
    <t>7/8, 10/8, 10/8, 12/8,19/8, 24/8</t>
  </si>
  <si>
    <t>RA CSM 300 GSM TWL 30kg 64m(L) x 1040mm(W)</t>
  </si>
  <si>
    <t>25/8, 25/8, 27/8</t>
  </si>
  <si>
    <t>DO21(1), DO22(1), DO23(3)</t>
  </si>
  <si>
    <t>27/8</t>
  </si>
  <si>
    <t>DO23(1)</t>
  </si>
  <si>
    <t>RA Bosny Wax (15Kg)</t>
  </si>
  <si>
    <t>RA Resin 3317AW (220Kg)</t>
  </si>
  <si>
    <t>3/9</t>
  </si>
  <si>
    <t>DO25(1)</t>
  </si>
  <si>
    <t>DO23(1), DO27(4)</t>
  </si>
  <si>
    <t>25/8, 15/9</t>
  </si>
  <si>
    <t>DO21(1), DO27(1)</t>
  </si>
  <si>
    <t>17/9</t>
  </si>
  <si>
    <t>DO27(1)</t>
  </si>
  <si>
    <t>27/8, 17(15)/9</t>
  </si>
  <si>
    <t>Chemrex delivered on 8/9/20</t>
  </si>
  <si>
    <t>CS12339</t>
  </si>
  <si>
    <t>CS12557</t>
  </si>
  <si>
    <t>CS12558</t>
  </si>
  <si>
    <t>CS12605</t>
  </si>
  <si>
    <t>CS12642</t>
  </si>
  <si>
    <t>SC12860</t>
  </si>
  <si>
    <t>SC12922</t>
  </si>
  <si>
    <t>CS12944</t>
  </si>
  <si>
    <t>CS12968</t>
  </si>
  <si>
    <t>CS13004</t>
  </si>
  <si>
    <t>Invoice No</t>
  </si>
  <si>
    <t>CS13138</t>
  </si>
  <si>
    <t>23/9</t>
  </si>
  <si>
    <t>GFRP=(1)N</t>
  </si>
  <si>
    <t>GFRP=(2)W</t>
  </si>
  <si>
    <t>GFRP=(3)*+(1)W</t>
  </si>
  <si>
    <t>GFRP=(1)*+(1)GP-H</t>
  </si>
  <si>
    <t>Stock Balance</t>
  </si>
  <si>
    <t>GFRP(1)N</t>
  </si>
  <si>
    <t>RA CSM 450 TWL 54kg 64m(L) X 1860mm(W)</t>
  </si>
  <si>
    <t>RA CSM 450 54kg 64m(L) X 1860mm(W)</t>
  </si>
  <si>
    <t>RA CSM 300 54Kg 96m(L) X 1860mm(W)</t>
  </si>
  <si>
    <t>DO27(1). DO29-1(4)</t>
  </si>
  <si>
    <t>DO27(3), DO29-1(1)</t>
  </si>
  <si>
    <t>17/9, 21/9</t>
  </si>
  <si>
    <t>15/9, 21/9</t>
  </si>
  <si>
    <t>17/6,  22/6, 15/7, 10/8, 10/8,</t>
  </si>
  <si>
    <t>DO04(2), DO05(2), DO08(1), DO12(1), DO13(4), DO20(2)</t>
  </si>
  <si>
    <t>DO08(3),  DO18(4), DO23(4), DO24(2), DO27(4), DO30(3)</t>
  </si>
  <si>
    <t>15/7, 22/8, 27/8, 1/9, 15/9, 23/9</t>
  </si>
  <si>
    <t>Stock (In)</t>
  </si>
  <si>
    <t>Packaging</t>
  </si>
  <si>
    <t>CS13093</t>
  </si>
  <si>
    <t>CS13034</t>
  </si>
  <si>
    <t>M0006916</t>
  </si>
  <si>
    <t>M0007011</t>
  </si>
  <si>
    <t>M0007190</t>
  </si>
  <si>
    <t>DO31(6)</t>
  </si>
  <si>
    <t>Period</t>
  </si>
  <si>
    <t>DO29-2(1), DO35(1)</t>
  </si>
  <si>
    <t>DO29-2(1), DO30(5), DO32(1), DO35(3)</t>
  </si>
  <si>
    <t>22/9, 23/9, 26/9, 6/10</t>
  </si>
  <si>
    <t>22/9, 6/10</t>
  </si>
  <si>
    <t>17/9, 21/9, 6/10</t>
  </si>
  <si>
    <t>CS13238</t>
  </si>
  <si>
    <t>DO1(6), DO04(3), DO14(4), DO23(2), DO37(1)</t>
  </si>
  <si>
    <t>20/5, 17/6, 12/8, 27/8, 12/10</t>
  </si>
  <si>
    <t>CS13244</t>
  </si>
  <si>
    <t>CS13272</t>
  </si>
  <si>
    <t>DO38(2)</t>
  </si>
  <si>
    <t>CS13356</t>
  </si>
  <si>
    <t>Tin</t>
  </si>
  <si>
    <t>CS13328</t>
  </si>
  <si>
    <t>CS13245</t>
  </si>
  <si>
    <t>CS13358</t>
  </si>
  <si>
    <t>19/10</t>
  </si>
  <si>
    <t>DO39(4)</t>
  </si>
  <si>
    <t>8/8, 5/10, 17/10</t>
  </si>
  <si>
    <t>DO11(2), DO34(1), DO40(1)</t>
  </si>
  <si>
    <t>DO41(4)</t>
  </si>
  <si>
    <t>Brush 2 1.2" (12Pc)</t>
  </si>
  <si>
    <t>DO24(2), DO26(1), DO28(1), DO33(1), DO34(3), DO37(1), DO43(1)</t>
  </si>
  <si>
    <t>1/9, 5/9, 17/9, 30/9, 5/10, 12/10, 21/10</t>
  </si>
  <si>
    <t>DO41(1)</t>
  </si>
  <si>
    <t>Box</t>
  </si>
  <si>
    <t>RA Pigment Super White (25Kg)</t>
  </si>
  <si>
    <t>RA Gelcoat GS-S ISO (20Kg)</t>
  </si>
  <si>
    <t>RA Gelcoat GP-H (20Kg)</t>
  </si>
  <si>
    <t>RA Butanox M50 (5Kg)</t>
  </si>
  <si>
    <t>RA Gelcoat GS-H (20Kg)</t>
  </si>
  <si>
    <t>DO35(2), DO36(6), DO44(2)</t>
  </si>
  <si>
    <t>8/10, 12/10, 21/10</t>
  </si>
  <si>
    <t>RA CSM 300 TWL 54Kg 96m(L) X 1860mm(W)</t>
  </si>
  <si>
    <t>RA CSM 450 37kg 79m(L) X 1040mm(W)</t>
  </si>
  <si>
    <t>CS13213</t>
  </si>
  <si>
    <t>23/9, 5/10, 6/10, 14/10, 19/10, 21/10</t>
  </si>
  <si>
    <t>DO30(1), DO34(6), DO35(2), DO38(8), DO42(1), DO44(2)</t>
  </si>
  <si>
    <t>DO26(4), DO28(2), DO30(4), DO37(3), DO44(4), DO46(3)</t>
  </si>
  <si>
    <t>5/9, 17/9, 23/9, 12/10, 21/10, 31/10</t>
  </si>
  <si>
    <t>RA Pigment Black (5Kg)</t>
  </si>
  <si>
    <t>9/11</t>
  </si>
  <si>
    <t>DO48(1)</t>
  </si>
  <si>
    <t>19/8, 22/8, 15/9, 21/9, 9/11, 11/11</t>
  </si>
  <si>
    <t>DO16(1), DO18(4), DO27(3). DO29-1(5), DO48(1), DO51(2)</t>
  </si>
  <si>
    <t>Loo-Cash</t>
  </si>
  <si>
    <t>CS13514</t>
  </si>
  <si>
    <t>CS15314</t>
  </si>
  <si>
    <t>M0007487</t>
  </si>
  <si>
    <t>20/5, 11/6, 17/6, 22/6, 20/11</t>
  </si>
  <si>
    <t>20/11</t>
  </si>
  <si>
    <t>DO54(1)</t>
  </si>
  <si>
    <t>DO54(1)*</t>
  </si>
  <si>
    <t>DO01(1), DO03(1)*, DO04(1)*, DO05(1)*, DO54(1)*</t>
  </si>
  <si>
    <t>1/7, 19/8</t>
  </si>
  <si>
    <t>DO06(8)+(1)*, DO17(1)</t>
  </si>
  <si>
    <t>22/8, 1/9, 15/9, 17/9</t>
  </si>
  <si>
    <t>DO18(4), DO24(4), DO27(2)</t>
  </si>
  <si>
    <t>D035(4), DO38(6)</t>
  </si>
  <si>
    <t>DO27(4), DO29-1(10), DO35(6)</t>
  </si>
  <si>
    <t>6/10, 19/10</t>
  </si>
  <si>
    <t>CS13593</t>
  </si>
  <si>
    <t>CS13608</t>
  </si>
  <si>
    <t>RA CSM 450 (37Kg) 1040mm</t>
  </si>
  <si>
    <t>RA CSM 450 (54Kg) 1860mm</t>
  </si>
  <si>
    <t>Product Code 2</t>
  </si>
  <si>
    <t>RA CSM 300 (30Kg) 1040mm</t>
  </si>
  <si>
    <t>RA CSM 300 (54Kg) 1860mm</t>
  </si>
  <si>
    <t>Grand Total</t>
  </si>
  <si>
    <t>6 Total</t>
  </si>
  <si>
    <t>9 Total</t>
  </si>
  <si>
    <t>10 Total</t>
  </si>
  <si>
    <t>8 Total</t>
  </si>
  <si>
    <t>3 Total</t>
  </si>
  <si>
    <t>7 Total</t>
  </si>
  <si>
    <t>11 Total</t>
  </si>
  <si>
    <t>Sum of Stock Balance</t>
  </si>
  <si>
    <t>Values</t>
  </si>
  <si>
    <t>Sum of Stock (In)</t>
  </si>
  <si>
    <t>Sum of Stock (out)</t>
  </si>
  <si>
    <t>RA CSM 450 TWL 30kg 64m(L) X 1040mm(W)</t>
  </si>
  <si>
    <t>RA CSM 450 TWL (30Kg) 1040mm</t>
  </si>
  <si>
    <t>CS13635</t>
  </si>
  <si>
    <t>Alkaline resistance Chopped Strand 24MM (18Kgs)</t>
  </si>
  <si>
    <t>25/11</t>
  </si>
  <si>
    <t>DO57(3)</t>
  </si>
  <si>
    <t>DO45(3), DO46(1), DO47(1), DO49(1), DO50(1), DO52(1), DO56(1), DO58(1)</t>
  </si>
  <si>
    <t>26/10, 31/10, 31/10, 10/11, 10/11, 18/11, 24/11, 23/11</t>
  </si>
  <si>
    <t>DO44(3), DO48(1), DO54(2), DO55(1), DO(59(1),  DO62(2)</t>
  </si>
  <si>
    <t>21/10, 9/11, 20/11, 21/11, 27/11, 30/11</t>
  </si>
  <si>
    <t>24/8, 27/8, 23/9, 5/10, 21/10, 20/11, 23/11, 30/11</t>
  </si>
  <si>
    <t>DO20(4), DO23(5), DO30(5), DO34(8), DO44(5), DO54(5), DO58(3), DO62(5)</t>
  </si>
  <si>
    <t>DO44(2), DO45(6), DO49(4), DO50(1), DO54(2), DO55(1), DO58(2), DO62(2)</t>
  </si>
  <si>
    <t>21/10, 26/10, 10/11, 10/11, 20/11, 21/11, 23/11, 30/11</t>
  </si>
  <si>
    <t>00040416</t>
  </si>
  <si>
    <t>12 Total</t>
  </si>
  <si>
    <t>15/12</t>
  </si>
  <si>
    <t>DO65(2)</t>
  </si>
  <si>
    <t>30/11, 31/12</t>
  </si>
  <si>
    <t>DO62(3), DO68(2)</t>
  </si>
  <si>
    <t>RA Tooling Gelcoat RP92 (22Kg)</t>
  </si>
  <si>
    <t>Vinlyeter Resin (200Kg)</t>
  </si>
  <si>
    <t>Can</t>
  </si>
  <si>
    <t>Pc</t>
  </si>
  <si>
    <t>Bag</t>
  </si>
  <si>
    <t>6/1</t>
  </si>
  <si>
    <t>6/2</t>
  </si>
  <si>
    <t>6/3</t>
  </si>
  <si>
    <t>6/4</t>
  </si>
  <si>
    <t>6/5</t>
  </si>
  <si>
    <t>6/6</t>
  </si>
  <si>
    <t>6/7</t>
  </si>
  <si>
    <t>6/8</t>
  </si>
  <si>
    <t>DO69(2)</t>
  </si>
  <si>
    <t>DO69(1)</t>
  </si>
  <si>
    <t>DO69(3)</t>
  </si>
  <si>
    <t>RA Pigment H 2006 Dark Grey (5Kg)</t>
  </si>
  <si>
    <t>RA Deawa DW-5213</t>
  </si>
  <si>
    <t>RA Pigment H 7001 Bright Orange (5Kg)</t>
  </si>
  <si>
    <t>RA Steel Roller 3"</t>
  </si>
  <si>
    <t>RA Aerosil (Silica Fume) (10Kg)</t>
  </si>
  <si>
    <t>RA Deawa DW-5214</t>
  </si>
  <si>
    <t>M0007675</t>
  </si>
  <si>
    <t>RA Mirror Glaze 0811</t>
  </si>
  <si>
    <t>RA Styrene Monomer (6Kg)</t>
  </si>
  <si>
    <t>RA Steel Roller 4"</t>
  </si>
  <si>
    <t>RA Styrene Monomer (16Kg)</t>
  </si>
  <si>
    <t>*Kg</t>
  </si>
  <si>
    <t>kg/Pail</t>
  </si>
  <si>
    <t>8/1</t>
  </si>
  <si>
    <t>DO71(1)</t>
  </si>
  <si>
    <t>1 Total</t>
  </si>
  <si>
    <t>RA Miracle Gloss Wax No. 8 (311g/Can)</t>
  </si>
  <si>
    <t>23/9, 6/10, 11/11, 4/1</t>
  </si>
  <si>
    <t>DO29-2(1), DO35(3), DO51(1), DO69(1)</t>
  </si>
  <si>
    <t>18/1</t>
  </si>
  <si>
    <t>27/11, 30/11, 31/12, 29/1</t>
  </si>
  <si>
    <t>DO59(4), DO62(4), DO68(8), DO75(4)</t>
  </si>
  <si>
    <t xml:space="preserve">23/11, 4/1, </t>
  </si>
  <si>
    <t>DO58(1), DO69(3),</t>
  </si>
  <si>
    <t xml:space="preserve">*gfrp-mepoxe(1-DO76(1)), ever(3) DO77(2), DO78(1). </t>
  </si>
  <si>
    <t>RA Pigment Super White (5Kg)</t>
  </si>
  <si>
    <t xml:space="preserve">30/12, 31/12, 4/1, 18/1, 27/1, 29/1, </t>
  </si>
  <si>
    <t xml:space="preserve">DO67(6), DO68(2), DO69(1), DO73(2), DO74(6), DO76(3), </t>
  </si>
  <si>
    <t>DO79(1)</t>
  </si>
  <si>
    <t>9/2</t>
  </si>
  <si>
    <t>DO80(1)</t>
  </si>
  <si>
    <t>11/11, 5/12, 4/1, 9/2</t>
  </si>
  <si>
    <t>DO51(1), DO64(2), DO69(2), DO80(1)</t>
  </si>
  <si>
    <t>DO68(3), DO73(1), DO83(1)</t>
  </si>
  <si>
    <t>24/2</t>
  </si>
  <si>
    <t>31/12, 18/1, 24/2</t>
  </si>
  <si>
    <t>RA Accelerator (5Kg)</t>
  </si>
  <si>
    <t>DO83(1)</t>
  </si>
  <si>
    <t>DO38(1), DO48(1), DO55(2), DO60(2), DO61(5), DO73(2), DO77(1), DO80(2), DO84(4)</t>
  </si>
  <si>
    <t>19/10, 9/11, 21/11, 28/11, 18/1, 3/2, 9/2, 23/2</t>
  </si>
  <si>
    <t>2 Total</t>
  </si>
  <si>
    <t>Brush 3" (12Pc)</t>
  </si>
  <si>
    <t>23/2</t>
  </si>
  <si>
    <t>DO84(3)</t>
  </si>
  <si>
    <t>00040431</t>
  </si>
  <si>
    <t>00040518</t>
  </si>
  <si>
    <t>00040714/765</t>
  </si>
  <si>
    <t>00040714</t>
  </si>
  <si>
    <t>00040766</t>
  </si>
  <si>
    <t>00040699</t>
  </si>
  <si>
    <t>00040847</t>
  </si>
  <si>
    <t>00040902</t>
  </si>
  <si>
    <t>00041039</t>
  </si>
  <si>
    <t>00041111</t>
  </si>
  <si>
    <t>*Everkimia(3) DO77(2), DO78(1)</t>
  </si>
  <si>
    <t xml:space="preserve">DO76(1), </t>
  </si>
  <si>
    <t>*gfrp-mepoxe(1) DO76(1)</t>
  </si>
  <si>
    <t>29/1</t>
  </si>
  <si>
    <t>DO83(4), DO85(1)</t>
  </si>
  <si>
    <t>00040982</t>
  </si>
  <si>
    <t>00041010</t>
  </si>
  <si>
    <t>24/2, 27/2</t>
  </si>
  <si>
    <t>Year</t>
  </si>
  <si>
    <t>Sum of Unit Price</t>
  </si>
  <si>
    <t>Sum of Amount (RM)</t>
  </si>
  <si>
    <t>Chemrex Total</t>
  </si>
  <si>
    <t>10/3</t>
  </si>
  <si>
    <t>DO87(2)</t>
  </si>
  <si>
    <t>DO87(1)</t>
  </si>
  <si>
    <t>15/12, 30/12, 27/1, 29/1, 3/2, 2/2, 9/2, 19/2, 10/3</t>
  </si>
  <si>
    <t>DO65(1), DO67(3), DO74(3), DO75(1), DO76(5), DO77(2), DO78(1), DO80(1), DO82(1), DO87(2)</t>
  </si>
  <si>
    <t>12/10, 26/12, 8/3, 11/3</t>
  </si>
  <si>
    <t>DO36(1), DO66(2), DO86(1), DO88(1)</t>
  </si>
  <si>
    <t>8/3, 10/3, 11/3</t>
  </si>
  <si>
    <t>DO86(6), DO87(2), DO88(2)</t>
  </si>
  <si>
    <t>RD</t>
  </si>
  <si>
    <t>RE</t>
  </si>
  <si>
    <t>Berjaya Bintang</t>
  </si>
  <si>
    <t>Chemitra</t>
  </si>
  <si>
    <t>00041141</t>
  </si>
  <si>
    <t>00041140</t>
  </si>
  <si>
    <t>Berjaya</t>
  </si>
  <si>
    <t>00041364</t>
  </si>
  <si>
    <t>00004075</t>
  </si>
  <si>
    <t>RD Iron Roller 4"</t>
  </si>
  <si>
    <t>RD Iron Roller 3"</t>
  </si>
  <si>
    <t>PC</t>
  </si>
  <si>
    <t>DO89(2)</t>
  </si>
  <si>
    <t>DO89(1)</t>
  </si>
  <si>
    <t>RD Paint Brush 3"(12Pc/Ctr)</t>
  </si>
  <si>
    <t>Goods return, due to old date stock</t>
  </si>
  <si>
    <t>CN 00000578, dd 24/3/21</t>
  </si>
  <si>
    <t>23/3, 25/3</t>
  </si>
  <si>
    <t>DO90(5), , DO91(5)</t>
  </si>
  <si>
    <t>30/12, 31/12, 9/1, 27/1, 29/1, 24/3</t>
  </si>
  <si>
    <t>DO63(5), DO68(10), DO72(5). DO74(5), DO76(10), DO91(5)</t>
  </si>
  <si>
    <t xml:space="preserve">Proforma Inv 0077 </t>
  </si>
  <si>
    <t>CS12860</t>
  </si>
  <si>
    <t>00041369</t>
  </si>
  <si>
    <t>00041394</t>
  </si>
  <si>
    <t>00041398</t>
  </si>
  <si>
    <t>00041396</t>
  </si>
  <si>
    <t>00041435</t>
  </si>
  <si>
    <t>DO94(2)</t>
  </si>
  <si>
    <t>30/2</t>
  </si>
  <si>
    <t>RA Resin 9539NW (225Kg)</t>
  </si>
  <si>
    <t>(blank)</t>
  </si>
  <si>
    <t>(blank) Total</t>
  </si>
  <si>
    <t>8/4</t>
  </si>
  <si>
    <t>DO98(5)</t>
  </si>
  <si>
    <t>Kai Chuan</t>
  </si>
  <si>
    <t>4 Total</t>
  </si>
  <si>
    <t>9/4</t>
  </si>
  <si>
    <t>DO99(2)</t>
  </si>
  <si>
    <t>DO98(2)</t>
  </si>
  <si>
    <t>*G-FRP</t>
  </si>
  <si>
    <t>RF</t>
  </si>
  <si>
    <t>Waterserv Engineering</t>
  </si>
  <si>
    <t>WaterServ</t>
  </si>
  <si>
    <t>00001068</t>
  </si>
  <si>
    <t>8/4/2021</t>
  </si>
  <si>
    <t>19/4.2021</t>
  </si>
  <si>
    <t>07397</t>
  </si>
  <si>
    <t>07406</t>
  </si>
  <si>
    <t>27/4, 3/5</t>
  </si>
  <si>
    <t>DO100(1), DO101(1)</t>
  </si>
  <si>
    <t>RG</t>
  </si>
  <si>
    <t>RF Resin 3317AW (220Kg)</t>
  </si>
  <si>
    <t>RF Nor 3338NW (220Kg)</t>
  </si>
  <si>
    <t>RF Nor 3338W (220Kg)</t>
  </si>
  <si>
    <t>RG CSM 450 CQ 54kg 64m(L) X 1860mm(W)</t>
  </si>
  <si>
    <t>RH</t>
  </si>
  <si>
    <t>DJ Hardware Trading</t>
  </si>
  <si>
    <t>DJ Hardware</t>
  </si>
  <si>
    <t>8/4, 27/4, 3/5, 29/4</t>
  </si>
  <si>
    <t>DO97(1), DO100(2), DO101(5), DO102(2)</t>
  </si>
  <si>
    <t>Brush 1.1/2"(12Pc)</t>
  </si>
  <si>
    <t>00041462</t>
  </si>
  <si>
    <t>00041487</t>
  </si>
  <si>
    <t>00041507</t>
  </si>
  <si>
    <t>00041518</t>
  </si>
  <si>
    <t>00041599</t>
  </si>
  <si>
    <t>1/4, 6/5, 7/5</t>
  </si>
  <si>
    <t>DO95(3), DO103(1), DO104(1)</t>
  </si>
  <si>
    <t>Mould Released TR</t>
  </si>
  <si>
    <t>DO103(1)</t>
  </si>
  <si>
    <t>RA CSM 450 TWL (37Kg) 1040mm</t>
  </si>
  <si>
    <t>RA CSM 450 TWL 37kg 79m(L) X 1040mm(W)</t>
  </si>
  <si>
    <t>RA CSM 450 TWL 60kg 64m(L) X 2080mm(W)</t>
  </si>
  <si>
    <t>RA CSM 450 (60Kg) 2080mm</t>
  </si>
  <si>
    <t>21/5</t>
  </si>
  <si>
    <t>3/2, 2/2, 9/2, 22/2, 24/2, 27/2, 23/3, 24/3, 21/5</t>
  </si>
  <si>
    <t>DO77(2), DO78(1), DO80(1), DO83(4), DO84(1), DO85(1), DO90(4), DO92(4), DO89(1)</t>
  </si>
  <si>
    <t>1/4, 8/4, 8/4, 29/4, 21/5</t>
  </si>
  <si>
    <t>00041684</t>
  </si>
  <si>
    <t>00041756</t>
  </si>
  <si>
    <t>00041777</t>
  </si>
  <si>
    <t>07435</t>
  </si>
  <si>
    <t>DO102(3), DO108(3)</t>
  </si>
  <si>
    <t>29/4, 1/6</t>
  </si>
  <si>
    <t>30/12, 18/1, 8/3, 11/3, 23/3, 21/5, 1/6</t>
  </si>
  <si>
    <t>25/3, 21/5, 1/6</t>
  </si>
  <si>
    <t>DO93(1), DO89(1),  DO110(3)</t>
  </si>
  <si>
    <t>1/4, 8/4, 29/4, 21/5, 21/5, 1/6</t>
  </si>
  <si>
    <t>DO95(5), DO98(10), DO102(10), DO106(5), DO89(1), DO111(9)</t>
  </si>
  <si>
    <t>D095(5), DO97(1), DO98(2), DO102(4), DO106(4)</t>
  </si>
  <si>
    <t>5 Total</t>
  </si>
  <si>
    <t>Loo-Cash Total</t>
  </si>
  <si>
    <t>Berjaya Total</t>
  </si>
  <si>
    <t>Chemitra Total</t>
  </si>
  <si>
    <t>G-FRP Total</t>
  </si>
  <si>
    <t>My East Total</t>
  </si>
  <si>
    <t>Kai Chuan Total</t>
  </si>
  <si>
    <t>WaterServ Total</t>
  </si>
  <si>
    <t>DJ Hardware Total</t>
  </si>
  <si>
    <t>CS13007</t>
  </si>
  <si>
    <t>RA Mepoxe M (5kg)</t>
  </si>
  <si>
    <t>DO105(1), DO106(3), DO89(1), DO113(1)</t>
  </si>
  <si>
    <t>1/6, 7/9</t>
  </si>
  <si>
    <t>DO108(1), DO116(1)</t>
  </si>
  <si>
    <t>DO106(1), DO107(1), DO111(4), DO114(1), DO117(5)</t>
  </si>
  <si>
    <t>DO76(8), DO77(5), DO81(1), DO85(1), DO92(5), DO97(1), DO102(5), DO112(1), DO118(5)</t>
  </si>
  <si>
    <t>29/4, 14/9</t>
  </si>
  <si>
    <t>DO102(2), DO118(1)</t>
  </si>
  <si>
    <t>29/1, 3/2, 17/2, 27/2, 25/3, 8/4, 29/4, 1/9, 14/9</t>
  </si>
  <si>
    <t>19/5, 21/5, 21/5, 1/9</t>
  </si>
  <si>
    <t>21/5, 25/5, 1/6, 1/9, 14/9</t>
  </si>
  <si>
    <t>DO118(4), DO119(3), DO121(1)</t>
  </si>
  <si>
    <t>14/9, 21/9, 27/9</t>
  </si>
  <si>
    <t>DO114(1), DO117(3), DO119(4), DO120(1), DO122(1)</t>
  </si>
  <si>
    <t>1/9, 14/9, 21/9, 25/9, 28/9</t>
  </si>
  <si>
    <t>7/9, 14/9, 27/9, 2/10, 5/10</t>
  </si>
  <si>
    <t>DO116(1), DO118(6), DO121(5), DO125(2), DO127(6)</t>
  </si>
  <si>
    <t>RI</t>
  </si>
  <si>
    <t>Winsome Figurines Enterprise</t>
  </si>
  <si>
    <t>Winsome</t>
  </si>
  <si>
    <t>8/10</t>
  </si>
  <si>
    <t>RI Silicone Rubber (25kg)</t>
  </si>
  <si>
    <t>RJ</t>
  </si>
  <si>
    <t>CH Fibreglass (M) Sdn Bhd</t>
  </si>
  <si>
    <t>CH Fibreglass</t>
  </si>
  <si>
    <t>RJ CSM 450 60kg 64m(L) X 2080mm(W)</t>
  </si>
  <si>
    <t>RJ Nor 3338W (220Kg)</t>
  </si>
  <si>
    <t>RJ TR104 Hi Temp Wax</t>
  </si>
  <si>
    <t>00042535</t>
  </si>
  <si>
    <t>00042565</t>
  </si>
  <si>
    <t>RA Woven Roving E-600 (45kg) 1120mm</t>
  </si>
  <si>
    <t>RA Resin SHCP268W (225kg)</t>
  </si>
  <si>
    <t>00001095</t>
  </si>
  <si>
    <t>DO129(1)</t>
  </si>
  <si>
    <t>12/10</t>
  </si>
  <si>
    <t>DO132(4)</t>
  </si>
  <si>
    <t>DO132(10)</t>
  </si>
  <si>
    <t>DO132(2)</t>
  </si>
  <si>
    <t>14/10</t>
  </si>
  <si>
    <t>DO135(10)</t>
  </si>
  <si>
    <t>00042591</t>
  </si>
  <si>
    <t>00042601</t>
  </si>
  <si>
    <t>RA Vinylester Resin 7110-NC (Promoted) (25kg)</t>
  </si>
  <si>
    <t>15/10</t>
  </si>
  <si>
    <t>DO136(3)</t>
  </si>
  <si>
    <t>CH Fibreglass Total</t>
  </si>
  <si>
    <t>Winsome Total</t>
  </si>
  <si>
    <t>DO138(2)</t>
  </si>
  <si>
    <t xml:space="preserve">12/10, </t>
  </si>
  <si>
    <t>18/10</t>
  </si>
  <si>
    <r>
      <t xml:space="preserve">RA CSM 450 TWL </t>
    </r>
    <r>
      <rPr>
        <b/>
        <sz val="11"/>
        <color rgb="FFFF0000"/>
        <rFont val="Calibri"/>
        <family val="2"/>
      </rPr>
      <t xml:space="preserve">30kg </t>
    </r>
    <r>
      <rPr>
        <sz val="11"/>
        <color theme="1"/>
        <rFont val="Calibri"/>
        <family val="2"/>
      </rPr>
      <t>64m(L) X 1040mm(W)</t>
    </r>
  </si>
  <si>
    <r>
      <t xml:space="preserve">RA CSM 450 TWL </t>
    </r>
    <r>
      <rPr>
        <b/>
        <sz val="11"/>
        <color rgb="FFFF0000"/>
        <rFont val="Calibri"/>
        <family val="2"/>
      </rPr>
      <t xml:space="preserve">(30Kg) </t>
    </r>
    <r>
      <rPr>
        <sz val="11"/>
        <color theme="1"/>
        <rFont val="Calibri"/>
        <family val="2"/>
      </rPr>
      <t>1040mm</t>
    </r>
  </si>
  <si>
    <r>
      <t>RA CSM 450 TWL</t>
    </r>
    <r>
      <rPr>
        <b/>
        <sz val="11"/>
        <color rgb="FFFF0000"/>
        <rFont val="Calibri"/>
        <family val="2"/>
      </rPr>
      <t xml:space="preserve"> (30Kg</t>
    </r>
    <r>
      <rPr>
        <sz val="11"/>
        <color theme="1"/>
        <rFont val="Calibri"/>
        <family val="2"/>
      </rPr>
      <t>) 1040mm</t>
    </r>
  </si>
  <si>
    <t>RJ Woven Roving E-600 (45kg) 1120mm</t>
  </si>
  <si>
    <t>DO139(9)</t>
  </si>
  <si>
    <t>RK</t>
  </si>
  <si>
    <t>Chemitone</t>
  </si>
  <si>
    <t>RK Smooth Cream (25kg)</t>
  </si>
  <si>
    <t>G-FRP(1)*</t>
  </si>
  <si>
    <t>27/9, 9/10, 18/10</t>
  </si>
  <si>
    <t>G-FRP(3)*</t>
  </si>
  <si>
    <t>DO121(1), DO130(1), DO139(2-1*)</t>
  </si>
  <si>
    <t>5/10, 18/10, 20/10</t>
  </si>
  <si>
    <t>DO127(4), DO139(6), DO141(6)</t>
  </si>
  <si>
    <t>DO123(3), DO127(2), DO128(2), DO131(1), DO136(1), DO139(2), DO141(1)</t>
  </si>
  <si>
    <t>30/9, 5/10, 7/10, 11/10, 15/10, 18/10, 20/10</t>
  </si>
  <si>
    <t>Chemitone Sdn Bhd</t>
  </si>
  <si>
    <t>Chemitone Total</t>
  </si>
  <si>
    <t>2019 Total</t>
  </si>
  <si>
    <t>2020 Total</t>
  </si>
  <si>
    <t>2021 Total</t>
  </si>
  <si>
    <t>7/10, 15/10, 23/10</t>
  </si>
  <si>
    <t>DO128(1), DO137(1), DO142(1)</t>
  </si>
  <si>
    <t>1/10, 23/10</t>
  </si>
  <si>
    <t>DO124(1), DO142(4)</t>
  </si>
  <si>
    <t>DO126(1), DO134(1), DO137(1) *Ex Stock (3)</t>
  </si>
  <si>
    <t>11/1, 26/10</t>
  </si>
  <si>
    <t>DO70(6kg), DO143(5kg)</t>
  </si>
  <si>
    <t>7/5, 14/9, 21/9, 26/10</t>
  </si>
  <si>
    <t>DO104(4), DO118(5), DO119(10), DO144(1)</t>
  </si>
  <si>
    <t>15/10, 23/10, 26/10</t>
  </si>
  <si>
    <t>DO136(2), DO142(2), DO145(1)</t>
  </si>
  <si>
    <t>13/10, 18/10, 20/10, 26/10, 28/10</t>
  </si>
  <si>
    <t>DO133(2), DO139(2-1*), DO141(3-2*), DO144(2), DO147(3)</t>
  </si>
  <si>
    <t>RG Nor 3338W (220Kg)</t>
  </si>
  <si>
    <t>I-000500</t>
  </si>
  <si>
    <t>RJ Resin 3317AW (220Kg)</t>
  </si>
  <si>
    <t>20/10, 26/10, 26/10, 28/10</t>
  </si>
  <si>
    <t>DO141(6), DO143(8), DO144(14), DO147(4)</t>
  </si>
  <si>
    <t>00004281</t>
  </si>
  <si>
    <t>DO89(1), DO125(2), DO148(1)</t>
  </si>
  <si>
    <t>21/5, 2/10, 28/10</t>
  </si>
  <si>
    <t>28/10, 2/11</t>
  </si>
  <si>
    <t>DO147(3), DO151(1)</t>
  </si>
  <si>
    <t>30/10, 2/11</t>
  </si>
  <si>
    <t>DO149(4), DO151(1)</t>
  </si>
  <si>
    <t>RA Pigment Super Black (5kg)</t>
  </si>
  <si>
    <t xml:space="preserve">S &amp; N </t>
  </si>
  <si>
    <t>S &amp; N Chemicals Sdn Bhd'</t>
  </si>
  <si>
    <t>RL</t>
  </si>
  <si>
    <t>26/10, 26/10, 26/10, 2/11, 3/11</t>
  </si>
  <si>
    <t>DO143(2), DO144(2), DO146(3), DO152(1), DO153(2)</t>
  </si>
  <si>
    <t>3/11, 6/11</t>
  </si>
  <si>
    <t>DO153(3), DO155(2)</t>
  </si>
  <si>
    <t>26/10, 3/11, 6/11</t>
  </si>
  <si>
    <t>DO144(9), DO153(9), DO155(2)</t>
  </si>
  <si>
    <t>20/10, 30/10, 2/11, 3/11, 3/11, 6/11</t>
  </si>
  <si>
    <t>DO141(1), DO149(4), DO152(2), DO153(4), DO154(4), DO155(1)</t>
  </si>
  <si>
    <t>28/10, 30/10, 3/11, 6/11</t>
  </si>
  <si>
    <t>1/11</t>
  </si>
  <si>
    <t>DO150(1)</t>
  </si>
  <si>
    <t>DO147(2), DO149(4), DO153(15), DO155(4)</t>
  </si>
  <si>
    <t>S &amp; N  Total</t>
  </si>
  <si>
    <t>RL CSM 450 Jushi 37kg 79m(L) X 1040mm(W)</t>
  </si>
  <si>
    <t>11/11</t>
  </si>
  <si>
    <t>6/11, 8/11, 11/11</t>
  </si>
  <si>
    <t>DO155(11), DO156(6), DO159(15)</t>
  </si>
  <si>
    <t>DO159(10)</t>
  </si>
  <si>
    <t>1/6, 14/9, 14/9, 2/10, 5/10, 7/10, 11/10, 15/10, 18/10, 26/10, 30/10, 2/11, 3/11, 3/11, 6/11, 11/11</t>
  </si>
  <si>
    <t>DO111(1), DO117(4), DO118(10), DO125(3), DO127(5), DO128(6), DO131(2), DO136(1), DO139(7), DO144(6), DO149(10), DO151(6), DO153(5), DO154(5), DO155(5), DO159(4)</t>
  </si>
  <si>
    <t>DO160(5)</t>
  </si>
  <si>
    <t>00042447</t>
  </si>
  <si>
    <t>00042422</t>
  </si>
  <si>
    <t>I-000498</t>
  </si>
  <si>
    <t>I-000499</t>
  </si>
  <si>
    <t>00001098</t>
  </si>
  <si>
    <t>0001106</t>
  </si>
  <si>
    <t>SO2111/004</t>
  </si>
  <si>
    <t>00042618</t>
  </si>
  <si>
    <t>00042677</t>
  </si>
  <si>
    <t>00042704</t>
  </si>
  <si>
    <t>00042724</t>
  </si>
  <si>
    <t>00042725</t>
  </si>
  <si>
    <t>00042750</t>
  </si>
  <si>
    <t>00042749</t>
  </si>
  <si>
    <t>00042766</t>
  </si>
  <si>
    <t>00042807</t>
  </si>
  <si>
    <t>00042820</t>
  </si>
  <si>
    <t>00042748</t>
  </si>
  <si>
    <t>DO161(2)</t>
  </si>
  <si>
    <t>13/11</t>
  </si>
  <si>
    <t>6/11, 8/11, 11/11, 13/11</t>
  </si>
  <si>
    <t>DO155(1), DO156(6), DO159(1), D0162(2)</t>
  </si>
  <si>
    <t>18/1, 24/2, 8/3, 11/3, 23/3, 21/5, 13/11</t>
  </si>
  <si>
    <t>11/11, 26/11</t>
  </si>
  <si>
    <t>DO159(9), DO164(1)</t>
  </si>
  <si>
    <t>I-000506</t>
  </si>
  <si>
    <t>I-000507</t>
  </si>
  <si>
    <t>31/10, 20/11, 21/11, 8/4, 29/11</t>
  </si>
  <si>
    <t>DO46(1), DO54(8), DO55(2), DO98(6), DO166(3)</t>
  </si>
  <si>
    <t>6/11, 11/11, 7/12</t>
  </si>
  <si>
    <t>DO155(5), DO159(4), DO167(1)</t>
  </si>
  <si>
    <t>7/12</t>
  </si>
  <si>
    <t>DO167(2)</t>
  </si>
  <si>
    <t>29/11, 7/12</t>
  </si>
  <si>
    <t>DO166(1), DO167(9)</t>
  </si>
  <si>
    <t>6/11, 10/11, 11/11, 23/11, 29/11, 7/12, 10/12</t>
  </si>
  <si>
    <t>DO155(2), DO158(1), DO161(1), DO163(1), DO166(1), DO167(3), DO168(1)</t>
  </si>
  <si>
    <t>6/11, 23/11, 7/12, 10/12</t>
  </si>
  <si>
    <t>DO155(3), DO167(2), DO168(1)</t>
  </si>
  <si>
    <t>10/12</t>
  </si>
  <si>
    <t>DO168(1)</t>
  </si>
  <si>
    <t>00043012</t>
  </si>
  <si>
    <t>RA Tissue Mat (300M2) 30G/M2 1Meter (9Kg) Soft</t>
  </si>
  <si>
    <t>DO167(1)</t>
  </si>
  <si>
    <t>7/12/2021</t>
  </si>
  <si>
    <t>00043003</t>
  </si>
  <si>
    <t>00042930</t>
  </si>
  <si>
    <t>RA Woven Roving E-800 (45kg) 1120mm</t>
  </si>
  <si>
    <t>00042998</t>
  </si>
  <si>
    <t>RA Resin 9539W (225Kg)</t>
  </si>
  <si>
    <t>DO169(5)</t>
  </si>
  <si>
    <t>07566</t>
  </si>
  <si>
    <t>00001115</t>
  </si>
  <si>
    <t>RF Woven Roving E-600 (45kg) 1120mm</t>
  </si>
  <si>
    <t>1/6, 1/9, 27/9, 10/12</t>
  </si>
  <si>
    <t>DO109(3), DO115(4), DO121(4), DO169(5)</t>
  </si>
  <si>
    <t>00001113</t>
  </si>
  <si>
    <t>RG Resin 3317AW (220Kg)</t>
  </si>
  <si>
    <t>26/11, 15/12</t>
  </si>
  <si>
    <t>DO165(1), DO170(3)</t>
  </si>
  <si>
    <t>DO171(1)</t>
  </si>
  <si>
    <t>DO171(4)</t>
  </si>
  <si>
    <t>16/12/2021</t>
  </si>
  <si>
    <t>00043046</t>
  </si>
  <si>
    <t>DO172(1)</t>
  </si>
  <si>
    <t>RL CSM 450 Jushi 37kg 1040mm(W)</t>
  </si>
  <si>
    <t>RL CSM 450 Jushi 54kg 1860mm(W)</t>
  </si>
  <si>
    <t>RL CSM 450 Jushi 64kg 1800mm(W)</t>
  </si>
  <si>
    <t>K20771</t>
  </si>
  <si>
    <t>20/12, 22/12</t>
  </si>
  <si>
    <t>DO173(3), DO175(1)</t>
  </si>
  <si>
    <t>22/12</t>
  </si>
  <si>
    <t>DO175(8)</t>
  </si>
  <si>
    <t>21/12</t>
  </si>
  <si>
    <t>DO174((4)</t>
  </si>
  <si>
    <t>1/4, 3/5, 1/6, 1/9, 14/9, 10/12, 21/12</t>
  </si>
  <si>
    <t>DO95(1), DO101(4), DO109(4), DO115(4), DO117(1), DO168(1), DO174(1)</t>
  </si>
  <si>
    <t>K20774</t>
  </si>
  <si>
    <t>K20777</t>
  </si>
  <si>
    <t>24/12</t>
  </si>
  <si>
    <t>DO176(2)</t>
  </si>
  <si>
    <t>27/12</t>
  </si>
  <si>
    <t>DO177(2)</t>
  </si>
  <si>
    <t>22/12, 28/12, 30/12</t>
  </si>
  <si>
    <t>DO175(2), DO178(2), DO179(1)</t>
  </si>
  <si>
    <t>28/12, 30/12</t>
  </si>
  <si>
    <t>DO178(5), DO179(15)</t>
  </si>
  <si>
    <t>RA CSM 450 (60Kg) 64m(L) x 2080mm(W)</t>
  </si>
  <si>
    <t>RA CSM 450 (30Kg) 64m(L) x 1040mm(W)</t>
  </si>
  <si>
    <t>15/12, 15/12, 31/12, 31/12</t>
  </si>
  <si>
    <t>DO170(3), DO171(1), DO180(4), DO181(2)</t>
  </si>
  <si>
    <t>14/10, 11/11, 10/12, 10/12, 6/1/22</t>
  </si>
  <si>
    <t>DO134(6), DO161(2), DO168(1), DO183(3)</t>
  </si>
  <si>
    <t>10/12, 30/12, 3/1/22, 7/1/22, 8/1/22</t>
  </si>
  <si>
    <t>DO169(7), DO179(8), DO182(2), DO184(1), DO185(2)</t>
  </si>
  <si>
    <t>30/12, 31/12, 3/1/22, 8/1/22</t>
  </si>
  <si>
    <t>DO179(4), DO180(1), DO182(3), DO185(2)</t>
  </si>
  <si>
    <t>10/1/22</t>
  </si>
  <si>
    <t>RG CSM 450 (30Kg) 64m(L) x 1040mm(W)</t>
  </si>
  <si>
    <t>RG CSM 300 (30Kg) 64m(L) x 1040mm(W)</t>
  </si>
  <si>
    <t>5/10, 14/10, 15/10, 26/10, 13/11, 26/11, 31/12, 10/1/22</t>
  </si>
  <si>
    <t>DO126(1), DO134(1), DO137(1), DO143(4), DO162(2), DO164(1), DO181(1), DO186(1)</t>
  </si>
  <si>
    <t>DO186(4)</t>
  </si>
  <si>
    <t>DO187(20)</t>
  </si>
  <si>
    <t>13/10, 11/1/22</t>
  </si>
  <si>
    <t>DO133(1), DO187(1)</t>
  </si>
  <si>
    <t>RG Woven Roving E-600 (45kg) 1120mm</t>
  </si>
  <si>
    <t>DO187(4), DO188(2)</t>
  </si>
  <si>
    <t>10/1/22, 13/1/22</t>
  </si>
  <si>
    <t>13/1/22</t>
  </si>
  <si>
    <t>DO189(8)</t>
  </si>
  <si>
    <t>14/1/22</t>
  </si>
  <si>
    <t>DO190(2)</t>
  </si>
  <si>
    <t>2/11, 3/11, 14/1/22</t>
  </si>
  <si>
    <t>DO151(1), DO154(3), DO190(1)</t>
  </si>
  <si>
    <t>13/11, 10/12, 14/1/22</t>
  </si>
  <si>
    <t>DO161(2), DO168(1), DO190(2)</t>
  </si>
  <si>
    <t>RE Frekote 770NC (1 Gallon)</t>
  </si>
  <si>
    <t>10/1/22, 14/1/22</t>
  </si>
  <si>
    <t>DO186(1), DO190(1)</t>
  </si>
  <si>
    <t>07567</t>
  </si>
  <si>
    <t>00043092</t>
  </si>
  <si>
    <t>00004352</t>
  </si>
  <si>
    <t>00001124</t>
  </si>
  <si>
    <t>0001127</t>
  </si>
  <si>
    <t>00001130</t>
  </si>
  <si>
    <t>00001131</t>
  </si>
  <si>
    <t>RG Nor 3338NW (220Kg)</t>
  </si>
  <si>
    <t>00001132</t>
  </si>
  <si>
    <t>RG CSM 450 Jushi 54kg 1860mm(W)</t>
  </si>
  <si>
    <t>RA Accelerator (4Kgs)</t>
  </si>
  <si>
    <t>17/1/22</t>
  </si>
  <si>
    <t>DO192(1)</t>
  </si>
  <si>
    <t>D0192(1)</t>
  </si>
  <si>
    <t>10/1/22, 18/1/22</t>
  </si>
  <si>
    <t>DO186(3), DO193(1)</t>
  </si>
  <si>
    <t>DO168(1), DO169(2), DO171(4), DO179(4), DO187(4), DO190(4), DO195(1)</t>
  </si>
  <si>
    <t>10/12, 10/12, 15/12, 30/12, 11/1/22, 14/1/22, 24/1/22</t>
  </si>
  <si>
    <t>17/1/22, 22/1/22, 24/1/22, 25/1/22, 26/1/22</t>
  </si>
  <si>
    <t>DO192(3), DO194(1), DO195(6), D0196(1), DO197(4)</t>
  </si>
  <si>
    <t>26/1/22</t>
  </si>
  <si>
    <t>DO197(1)</t>
  </si>
  <si>
    <t>14/1/22, 25/1/22, 26/2/22</t>
  </si>
  <si>
    <t>DO191(4), DO196(1), DO197(1)</t>
  </si>
  <si>
    <t>2022 Total</t>
  </si>
  <si>
    <t>28/10, 2/11, 10/12, 6/1/22</t>
  </si>
  <si>
    <t>DO148(1), DO151(1), DO168(1), DO183(1)</t>
  </si>
  <si>
    <t>29/4, 17/2/22</t>
  </si>
  <si>
    <t>DO102(1), DO200(1)</t>
  </si>
  <si>
    <t>RH Bosny Wax (15Kg)</t>
  </si>
  <si>
    <t>00001136</t>
  </si>
  <si>
    <t>26/1/22, 15/2/22</t>
  </si>
  <si>
    <t>DO197(4), DO199(1)</t>
  </si>
  <si>
    <t>26/1/22, 10/2/22, 17/2/22</t>
  </si>
  <si>
    <t>DO197(1), DO198(2), DO200(2)</t>
  </si>
  <si>
    <t>17/2/22</t>
  </si>
  <si>
    <t>DO200(4)</t>
  </si>
  <si>
    <t>RG TR104 Hi Temp Wax</t>
  </si>
  <si>
    <t>RM</t>
  </si>
  <si>
    <t>WPCP Sdn Bhd</t>
  </si>
  <si>
    <t>WPCP</t>
  </si>
  <si>
    <t>RM Nor 3338NW (220Kg)</t>
  </si>
  <si>
    <t>18/2/22</t>
  </si>
  <si>
    <t>DO201(1)</t>
  </si>
  <si>
    <t>18/1/22, 19/2/22</t>
  </si>
  <si>
    <t>DO193(2), DO202(2)</t>
  </si>
  <si>
    <t>8/1, 18/2, 3/2, 21/5, 14/9, 19/2/22</t>
  </si>
  <si>
    <t>DO72(2), DO73(2), DO77(4), DO89(2), DO117(1), DO202(1)</t>
  </si>
  <si>
    <t>WPCP Total</t>
  </si>
  <si>
    <r>
      <t xml:space="preserve">DO73(1), DO83(3), </t>
    </r>
    <r>
      <rPr>
        <sz val="11"/>
        <rFont val="Calibri"/>
        <family val="2"/>
        <scheme val="minor"/>
      </rPr>
      <t>DO86(7),</t>
    </r>
    <r>
      <rPr>
        <sz val="11"/>
        <color theme="1"/>
        <rFont val="Calibri"/>
        <family val="2"/>
        <scheme val="minor"/>
      </rPr>
      <t xml:space="preserve"> DO88(2),  DO90(4), DO89(1), DO162(2)</t>
    </r>
  </si>
  <si>
    <t>27/4, 3/5, 2/10,</t>
  </si>
  <si>
    <t xml:space="preserve">DO100(5), DO101(4), DO125(1) </t>
  </si>
  <si>
    <t>13/10, 10/12, 10/12, 31/12, 13/1/22, 22/1/22, 26/1/22</t>
  </si>
  <si>
    <t>DO133(2), DO168(1), DO169(1), DO181(1), DO188(2), DO194(1), DO197(2)</t>
  </si>
  <si>
    <t>26/1/22, 10/2/22</t>
  </si>
  <si>
    <t>DO197(1), DO198(1)</t>
  </si>
  <si>
    <t>3/1/22, 7/1/22, 8/1/22, 21/2/22</t>
  </si>
  <si>
    <t>DO182(4), DO184(3), DO185(7), DO203(6)</t>
  </si>
  <si>
    <t>21/2/22</t>
  </si>
  <si>
    <t>DO204(1)</t>
  </si>
  <si>
    <t>24/1/22, 17/2/22, 22/2/22</t>
  </si>
  <si>
    <t>DO195(1), DO200(1), DO205(1)</t>
  </si>
  <si>
    <t>6/1/22, 10/2/22, 22/2/22</t>
  </si>
  <si>
    <t>DO183(1), DO198(2), DO205(1)</t>
  </si>
  <si>
    <t>13/11, 23/11, 26/11, 7/12, 10/12, 20/12, 22/12, 30/12, 31/12, 3/1/22, 8/1/22, 11/1/22, 13/1/22, 14/1/22, 18/1/22, 24/1/22, 17/2/22, 19/2/22, 22/2/22</t>
  </si>
  <si>
    <t>DO162(2), DO163(3), DO164(4), DO167(3), DO169(5), DO173(3), DO175(3), DO179(5), DO181(4), DO182(2), DO185(2), DO187(10), DO189(8), DO191(1), DO193(2), DO195(10), DO200(5), DO202(4), DO205(4)</t>
  </si>
  <si>
    <t>DO200(4), DO201(2), DO205(2), DO206(1)</t>
  </si>
  <si>
    <t>17/2/22, 18/2/22, 22/2/22, 24/2/22</t>
  </si>
  <si>
    <t>19/10, 26/10, 6/11, 11/11, 10/12, 20/12, 22/12, 30/12, 13/1/22, 18/1/22, 24/2/22</t>
  </si>
  <si>
    <t>DO140(1), DO144(1), DO155(1), DO159(2), DO169(1), DO173(1), DO175(1), DO179(1), DO189(1), DO193(1), DO206(1)</t>
  </si>
  <si>
    <t>T26044</t>
  </si>
  <si>
    <t>T26142</t>
  </si>
  <si>
    <t>RM Pgment Paste Riviera Blue B5 (5Kg)</t>
  </si>
  <si>
    <t>RM Wax Solution 54-56 (10L)</t>
  </si>
  <si>
    <t>RM NPG Gelcoat 9319-H (25Kg)</t>
  </si>
  <si>
    <t>8/3/22</t>
  </si>
  <si>
    <t>DO210(1)</t>
  </si>
  <si>
    <t>DO210(2)</t>
  </si>
  <si>
    <t>00004423</t>
  </si>
  <si>
    <t>I-000509</t>
  </si>
  <si>
    <r>
      <t xml:space="preserve">DO67(1), DO73(1), </t>
    </r>
    <r>
      <rPr>
        <sz val="11"/>
        <color rgb="FFFF0000"/>
        <rFont val="Calibri"/>
        <family val="2"/>
        <scheme val="minor"/>
      </rPr>
      <t>DO86(5),</t>
    </r>
    <r>
      <rPr>
        <sz val="11"/>
        <color theme="1"/>
        <rFont val="Calibri"/>
        <family val="2"/>
        <scheme val="minor"/>
      </rPr>
      <t xml:space="preserve"> DO88(2), DO90(4), DO89(1), DO109(1)</t>
    </r>
  </si>
  <si>
    <t>T26168</t>
  </si>
  <si>
    <t>RM CSM 450 (60Kg) 64m(L) x 2080mm(W)</t>
  </si>
  <si>
    <t>RM CSM 450 (30Kg) 64m(L) x 1040mm(W)</t>
  </si>
  <si>
    <t>13/1/22, 14/1/22, 18/1/22, 26/2/22, 8/3/22, 14/3/22</t>
  </si>
  <si>
    <t>DO189(11), DO190(2), D0193(4), DO207(1), DO210(1), DO216(1)</t>
  </si>
  <si>
    <t>8/3/22, 11/3/22, 12/3/22, 15/3/22</t>
  </si>
  <si>
    <t>15/3/22</t>
  </si>
  <si>
    <t>DO217(2)</t>
  </si>
  <si>
    <t>DO202(1), DO203(2), DO206(2), DO207(1), DO209(2), DO216(1), DO218(3)</t>
  </si>
  <si>
    <t>13/1/22, 18/1/22, 24/2/22, 8/3/22, 14/3/22, 15/3/22</t>
  </si>
  <si>
    <t>DO189(11), DO193(5), DO206(1), DO210(1), DO216(1), DO218(1)</t>
  </si>
  <si>
    <t>DO200(1), DO209(8), DO211(10), DO217(1)</t>
  </si>
  <si>
    <t>17/2/22, 5/3/22, 8/3/22, 15/3/22</t>
  </si>
  <si>
    <t>10/1/22, 22/1/22, 10/2/22, 19/2/22, 22/2/22, 8/3/22, 17/3/22</t>
  </si>
  <si>
    <t>DO186(1), DO194(1), DO198(1), DO202(6), DO205(1), DO210(1), DO219(1)</t>
  </si>
  <si>
    <t>19/2/22, 21/2/22, 24/2/22, 26/2/22, 5/3/22, 14/3/22, 15/3/22, 18/3/22</t>
  </si>
  <si>
    <t>DO202(1), DO203(2), DO206(2), DO207(1), DO209(2), DO216(1), DO218(3), DO220(3)</t>
  </si>
  <si>
    <t>RM Woven Roving E-600gm 1000mm (40Kg)</t>
  </si>
  <si>
    <t>RM Cobalt (5kg)</t>
  </si>
  <si>
    <t>18/3/22</t>
  </si>
  <si>
    <t>DO220(5)</t>
  </si>
  <si>
    <t>RM Acetone (163Kg)</t>
  </si>
  <si>
    <t>19/3/22</t>
  </si>
  <si>
    <t>24/1/22, 15/2/22, 21/2/22, 24/2/22, 5/3/22, 15/3/22, 19/3/22</t>
  </si>
  <si>
    <t>DO195(3), DO199(4), DO203(2), DO206(4), DO209(1), DO218(4), DO221(2)</t>
  </si>
  <si>
    <t>DO221(1)</t>
  </si>
  <si>
    <t>DO222(1)</t>
  </si>
  <si>
    <t>23/3/22</t>
  </si>
  <si>
    <t>DO223(4)</t>
  </si>
  <si>
    <t>22/3/2022</t>
  </si>
  <si>
    <t>22/3/22</t>
  </si>
  <si>
    <t>A0001</t>
  </si>
  <si>
    <t>25/3/22</t>
  </si>
  <si>
    <t>DO224(1)</t>
  </si>
  <si>
    <t>15/3/22,  18/3/22, 19/2/22, 25/3/22</t>
  </si>
  <si>
    <t>DO217(4), DO220(7), DO221(6), DO224(3)</t>
  </si>
  <si>
    <t>RJ Mepoxe (5kg)</t>
  </si>
  <si>
    <t>RM Polycor GS-H Gelcoat (25Kg)</t>
  </si>
  <si>
    <t>RM Pigment Paste Smooth Cream M19 (25kg)</t>
  </si>
  <si>
    <t>DO227(1)</t>
  </si>
  <si>
    <t>1/4/22</t>
  </si>
  <si>
    <t>DO205(1), DO211(10), DO212(1), DO213(5), DO221(10). DO223(2), DO224(4), DO226(2), DO227(2), DO228(3)</t>
  </si>
  <si>
    <t>DO228(1)</t>
  </si>
  <si>
    <t>DO229(3)</t>
  </si>
  <si>
    <t>DO224(4), DO226(2), DO227(1), DO229(2), DO230(1)</t>
  </si>
  <si>
    <t>25/3/22, 29/3/22, 1/4/22</t>
  </si>
  <si>
    <t>DO224(6). DO226(3), DO230(1)</t>
  </si>
  <si>
    <t>DO230(2)</t>
  </si>
  <si>
    <t>22/2/22, 8/3/22, 9/3/22, 11/3/22, 19/3/22, 23/3/22, 25/3/22, 29/3/22, 29/3/22, 1/4/22, 1/4/22</t>
  </si>
  <si>
    <t>25/3/22, 29/3/22, 1/4/22, 1/4/22, 1/4/22</t>
  </si>
  <si>
    <t>DO224(7), DO225(4), DO226(8), DO231(1)</t>
  </si>
  <si>
    <t>25/3/22, 29/3/22, 29/3/22, 5/4/22</t>
  </si>
  <si>
    <t>11/3/22, 12/3/22, 8/4/22</t>
  </si>
  <si>
    <t>DO213(1), DO214(1), DO232(2)</t>
  </si>
  <si>
    <t>19/3/22, 23/3/22, 29/3/22, 1/4/22, 1/4/22, 8/4/22</t>
  </si>
  <si>
    <t>DO221(2), DO223(3), DO225(1), DO228(2), DO229(1), DO233(1)</t>
  </si>
  <si>
    <t>15/3/22, 1/4/22, 9/4/22</t>
  </si>
  <si>
    <t>DO218(6), DO229(3), DO234(1)</t>
  </si>
  <si>
    <t>5/4/22, 9/4/22, 9/4/22</t>
  </si>
  <si>
    <t>DO231(5), DO235(4), DO236(1)</t>
  </si>
  <si>
    <t>RM NPG Gelcoat 9319-H (5Kg)</t>
  </si>
  <si>
    <t>T26373</t>
  </si>
  <si>
    <t>12/4/22</t>
  </si>
  <si>
    <t>DO237(2)</t>
  </si>
  <si>
    <t>RM CSM 450 64m(L) X 1860mm(W) (54kg)</t>
  </si>
  <si>
    <t>13/4/22</t>
  </si>
  <si>
    <t>DO239(5)</t>
  </si>
  <si>
    <t>5/4/22, 8/4/22, 9/4/22, 13/4/22</t>
  </si>
  <si>
    <t>DO231(3), DO232(2), DO234(2), DO239(3)</t>
  </si>
  <si>
    <t>T26386</t>
  </si>
  <si>
    <t>I-000515</t>
  </si>
  <si>
    <t>T26383</t>
  </si>
  <si>
    <t>00004450</t>
  </si>
  <si>
    <t>12/4/22, 14/4/22, 16/4/22</t>
  </si>
  <si>
    <t>DO238(2), DO240(5), DO242(3)</t>
  </si>
  <si>
    <t>16/4/22</t>
  </si>
  <si>
    <t>DO242(3)</t>
  </si>
  <si>
    <t>5/4/22, 9/4/22, 13/4/22, 16/4/22</t>
  </si>
  <si>
    <t>DO231(3), DO235(3), DO239(6), DO242(2)</t>
  </si>
  <si>
    <t>DO242(2)</t>
  </si>
  <si>
    <t>1/4/22, 1/4/22, 5/4/22, 9/4/22, 14/4/22, 15/4/22, 16/4/22, 16/4/22</t>
  </si>
  <si>
    <t>DO227(4), DO228(2), DO231(4), DO236(1), DO240(2), DO241(1), DO242(4), DO243(6)</t>
  </si>
  <si>
    <t>DO231(1), DO236(1), DO244(1)</t>
  </si>
  <si>
    <t>24/11, 29/1, 3/2, 27/12, 8/1/22, 15/3/22, 19/4/22</t>
  </si>
  <si>
    <t>DO53(1), DO75(1), DO77(1), DO177(1), DO185(1), DO218(, DO244(1)</t>
  </si>
  <si>
    <t>T26428</t>
  </si>
  <si>
    <t>RM Resin Nor 3338W (220Kg)</t>
  </si>
  <si>
    <t>RM Resin Nor 3317AW (220Kg)</t>
  </si>
  <si>
    <t>RA  Woven Roing 600 1120mm (45kg)</t>
  </si>
  <si>
    <t>RA Resin Nor 3338W (220Kg)</t>
  </si>
  <si>
    <t>Set</t>
  </si>
  <si>
    <t>RM Epoxy primer 15Kg + Hardener 7.5Kg (22.5Kg)</t>
  </si>
  <si>
    <t>21/4/22</t>
  </si>
  <si>
    <t>DO246(1)</t>
  </si>
  <si>
    <t>21/5, 21/4/22</t>
  </si>
  <si>
    <t>DO89(1), DO247(1)</t>
  </si>
  <si>
    <t>8/4/22, 9/4/22, 9/4/22, 14/4/22, 15/4/22, 16/4/22, 22/4/22</t>
  </si>
  <si>
    <t>DO233(2), DO235(3), DO236(1), DO240(2), DO241(1), DO243(5), DO248(1)</t>
  </si>
  <si>
    <t>17/3/22, 8/4/22, 8/4/22, 22/4/22</t>
  </si>
  <si>
    <t>DO219(2), DO232(2), DO233(6), DO248(2)</t>
  </si>
  <si>
    <t>23/4/22</t>
  </si>
  <si>
    <t>DO249(1)</t>
  </si>
  <si>
    <t>1/4/22, 1/4/22, 5/4/22, 8/4/22, 8/4/22, 9/4/22, 9/4/22, 13/4/22, 16/4/22, 16/4/22, 20/4/22, 23/4/22, 26/4/22</t>
  </si>
  <si>
    <t>DO228(7), DO229(3), DO231(3), DO232(3), DO233(4), DO235(3), DO236(1), DO239(3), DO242(3), DO243(5), DO245(1), DO249(2), DO250(2)</t>
  </si>
  <si>
    <t>16/4/22, 16/4/22, 19/4/22, 20/4/22, 23/4/22, 26/4/22, 28/4/22, 28/4/22</t>
  </si>
  <si>
    <t>DO242(4), DO243(9), DO244(6), DO245(1), DO249(8), DO250(3), DO252(4), DO253(5)</t>
  </si>
  <si>
    <t>29/4/22</t>
  </si>
  <si>
    <t>DO255(1)</t>
  </si>
  <si>
    <t>24/3/21, 10/2/22, 22/2/22, 11/3/22, 8/4/22, 21/4/22</t>
  </si>
  <si>
    <t>DO89(1), DO198(2), DO205(1), DO213(3), DO232(2), DO246(1)</t>
  </si>
  <si>
    <t>21/4/22, 23/4/22, 26/4/22, 27/4/22, 28/4/22, 28/4/22, 6/5/22</t>
  </si>
  <si>
    <t>DO246(5), DO249(3), DO250(1), DO251(5), DO253(3), DO254(1), DO257(2)</t>
  </si>
  <si>
    <t>28/4/22, 30/4/22, 6/5/22</t>
  </si>
  <si>
    <t>DO253(4), DO256(12), DO257(4)</t>
  </si>
  <si>
    <t>RM Catalyst Despensor</t>
  </si>
  <si>
    <t>RM Gelcoat GPH (20Kg)</t>
  </si>
  <si>
    <t>RM Pigment Opaline H1 (10Kg)</t>
  </si>
  <si>
    <t>23/4/22, 26/4/22, 28/4/22, 30/4/22, 6/5/22</t>
  </si>
  <si>
    <t>DO249(4), DO250(2), DO253(5), DO256(6), DO257(3)</t>
  </si>
  <si>
    <t>6/5/22</t>
  </si>
  <si>
    <t>DO258(1)</t>
  </si>
  <si>
    <t>28/4/22, 30/4/22, 6/5/22, 7/5/22</t>
  </si>
  <si>
    <t>DO254(1), DO256(4), DO257(2), DO259(3)</t>
  </si>
  <si>
    <t>7/5/22</t>
  </si>
  <si>
    <t>DO259(20)</t>
  </si>
  <si>
    <t>10/5/22</t>
  </si>
  <si>
    <t>DO260(1)</t>
  </si>
  <si>
    <t>DO262(2)</t>
  </si>
  <si>
    <t>DO261(1)</t>
  </si>
  <si>
    <t>RM Pigment Super Black (5Kg)</t>
  </si>
  <si>
    <t>11/5/22</t>
  </si>
  <si>
    <t>**ALSEY</t>
  </si>
  <si>
    <t>12/5/22</t>
  </si>
  <si>
    <t>DO262(1)</t>
  </si>
  <si>
    <t>5/4/22, 9/4/22, 19/4/22,</t>
  </si>
  <si>
    <t>RJ Woven Roving E-600gm 1000mm (40Kg)</t>
  </si>
  <si>
    <t>22/4/22, 27/4/22, 28/4/22, 16/5/22</t>
  </si>
  <si>
    <t>DO248(2), DO251(12), DO254(2), DO266(4)</t>
  </si>
  <si>
    <t>28/4/22, 30/4/22, 12/5/22, 18/5/22</t>
  </si>
  <si>
    <t>DO253(1), DO256(1), DO263(1), DO267(1)</t>
  </si>
  <si>
    <t>18/5/22</t>
  </si>
  <si>
    <t>DO267(1)</t>
  </si>
  <si>
    <t>RM Pigment Dark Grey G19 (5Kg)</t>
  </si>
  <si>
    <t>19/5/22</t>
  </si>
  <si>
    <t>DO268(12)</t>
  </si>
  <si>
    <t>28/4/22, 12/5/22, 14/5/22, 16/5/22, 18/5/22, 19/5/22, 20/5/22</t>
  </si>
  <si>
    <t>DO252(2), DO263(2), DO265(3), DO266(3), DO267(2), DO268(1), DO269(2)</t>
  </si>
  <si>
    <t>10/5/22, 12/5/22, 14/5/22, 18/5/22, 20/5/22</t>
  </si>
  <si>
    <t>DO260(2), DO263(3), DO265(4), DO267(2), DO269(5)</t>
  </si>
  <si>
    <t>21/5/22</t>
  </si>
  <si>
    <t>DO270(1)</t>
  </si>
  <si>
    <t>28/4/22, 28/4/22, 30/4/22, 6/5/22, 7/5/22, 12/5/22, 14/5/22, 16/5/22, 18/5/22, 20/5/22, 21/5/22</t>
  </si>
  <si>
    <t>DO253(3), DO254(5), DO256(4), DO257(4), DO259(4), DO263(3), DO265(3), DO266(5), DO267(2), DO269(4), DO271(3)</t>
  </si>
  <si>
    <t>RM Talcum Powder (25kg)</t>
  </si>
  <si>
    <t>7/5/22, 10/5/22, 11/5/22, 12/5/22, 23/5/22</t>
  </si>
  <si>
    <t>DO259(1), DO260(1), DO261(1), DO262(1), DO272(1)</t>
  </si>
  <si>
    <t>19/5/22, 21/5/22, 23/5/22, 23/5/22</t>
  </si>
  <si>
    <t>DO268(3), DO271(10), DO272(5), DO273(2)</t>
  </si>
  <si>
    <t>14/5/22, 18/5/22, 20/5/22, 21/5/22, 23/5/22</t>
  </si>
  <si>
    <t>21/5/22, 23/5/22, 23/5/22</t>
  </si>
  <si>
    <t>DO265(5), DO267(3), DO269(5), DO271(5), DO273(2)</t>
  </si>
  <si>
    <t>DO270(1), DO272(1), DO274(1)</t>
  </si>
  <si>
    <t>T26531</t>
  </si>
  <si>
    <t>T26509</t>
  </si>
  <si>
    <t>T26578</t>
  </si>
  <si>
    <t>RA Sand Wheel 105 X 2 X 16 (30PC)</t>
  </si>
  <si>
    <t>28/5/22</t>
  </si>
  <si>
    <t>DO277(1)</t>
  </si>
  <si>
    <t>RA CSM 300 (30Kg) 64m(L) x 1040mm(W)</t>
  </si>
  <si>
    <t>23/5/22. 25/5/22, 28/5/22, 2/6/22</t>
  </si>
  <si>
    <t>DO273(3), DO276(8), DO277(3), DO278(6)</t>
  </si>
  <si>
    <t>6/5/22, 7/5/22, 12/5/22, 12/5/22, 23/5/22, 25/5/22, 2/6/22</t>
  </si>
  <si>
    <t>DO257(1), DO259(5), DO262(1), DO263(3), DO273(1), DO276(6), DO278(3)</t>
  </si>
  <si>
    <t>RA Woven Roing 600 1120mm (45kg)</t>
  </si>
  <si>
    <t>20/5/22, 21/5/22, 23/5/22, 28/5/22, 2/6/22, 4/6/22</t>
  </si>
  <si>
    <t>DO269(2), DO271(4), DO273(2), DO277(1), DO278(4), DO280(2)</t>
  </si>
  <si>
    <t>00042775</t>
  </si>
  <si>
    <t xml:space="preserve"> </t>
  </si>
  <si>
    <t>00044079</t>
  </si>
  <si>
    <t>Inv</t>
  </si>
  <si>
    <t>A190005</t>
  </si>
  <si>
    <t>A190007</t>
  </si>
  <si>
    <t>00043118</t>
  </si>
  <si>
    <t>00043256</t>
  </si>
  <si>
    <t>00043287</t>
  </si>
  <si>
    <t>00043435</t>
  </si>
  <si>
    <t>00043389</t>
  </si>
  <si>
    <t>00043465</t>
  </si>
  <si>
    <t>00043613</t>
  </si>
  <si>
    <t>T26518</t>
  </si>
  <si>
    <t>00044000</t>
  </si>
  <si>
    <t>T26605</t>
  </si>
  <si>
    <t>T26614</t>
  </si>
  <si>
    <t>00044058</t>
  </si>
  <si>
    <t>00044083</t>
  </si>
  <si>
    <t>00044080</t>
  </si>
  <si>
    <t>T26705</t>
  </si>
  <si>
    <t>T26618</t>
  </si>
  <si>
    <t>RM Resin 3317AW (220Kg)</t>
  </si>
  <si>
    <t>T26697</t>
  </si>
  <si>
    <t>T26724</t>
  </si>
  <si>
    <t>RM Woven Roving E-800 1000mm (40Kg)</t>
  </si>
  <si>
    <t>T26762</t>
  </si>
  <si>
    <t>00044148</t>
  </si>
  <si>
    <t>7/6/22</t>
  </si>
  <si>
    <t>DO281(1)</t>
  </si>
  <si>
    <t>23/5/22, 23/5/22, 24/5/22, 25/5/22, 9/6/22</t>
  </si>
  <si>
    <t>DO272(5), DO274(2), DO275(5), DO276(4), DO282(4)</t>
  </si>
  <si>
    <t>9/6/22</t>
  </si>
  <si>
    <t>DO282(1)</t>
  </si>
  <si>
    <t>INV/0001-034301</t>
  </si>
  <si>
    <t>R000130550</t>
  </si>
  <si>
    <t>4/6/22, 9/6/22, 10/6/22, 11/6/22, 13/6/22</t>
  </si>
  <si>
    <t>DO280(10), DO282(5), DO284(2), DO285(1), DO286(2)</t>
  </si>
  <si>
    <t>16/4/22, 20/4/22, 28/4/22, 6/5/22, 12/5/22, 21/5/22, 28/5/22, 10/6/22, 13/6/22, 18/6/22</t>
  </si>
  <si>
    <t>DO243(2), DO245(1), DO252(2), DO257(4), DO263(4), DO270(1), DO277(1), DO284(1), DO286(2), DO289(2)</t>
  </si>
  <si>
    <t xml:space="preserve">3/6/2022, 9/6/22, 9/6/22, 14/6/22, </t>
  </si>
  <si>
    <t xml:space="preserve">DO279(1), O282(1), DO283(1), DO287(2), </t>
  </si>
  <si>
    <t>21/5/22, 23/5/22, 23/5/22, 23/5/22, 25/5/22, 2/6/22, 4/6/22, 11/6/22, 18/6/22, 24/6/22</t>
  </si>
  <si>
    <t>DO271(1), DO272(10), DO273(2), DO274(3), DO276(4), DO278(4), DO280(2), DO282(10), DO285(2), DO289(1), DO291(1)</t>
  </si>
  <si>
    <t>18/6/22, 20/6/22, 24/6/22, 28/6/22</t>
  </si>
  <si>
    <t>DDO289(1). DO290(1), DO292(2), DO293(1)</t>
  </si>
  <si>
    <t>12/4/22, 28/4/22, 23/5/22, 28/6/22</t>
  </si>
  <si>
    <t>DO237(1), DO254(1), DO274(1), DO293(1)</t>
  </si>
  <si>
    <t>29/6/22</t>
  </si>
  <si>
    <t>14/6/22, 18/6/22, 24/6/22, 24/6/22, 29/6/22</t>
  </si>
  <si>
    <t>DO288(4), DO289(2), DO291(3), DO292(3),  DO294(8)</t>
  </si>
  <si>
    <t>DO294(1)</t>
  </si>
  <si>
    <t>RM Butonox M50 (5kg)</t>
  </si>
  <si>
    <t>RM PVA (5Kg)</t>
  </si>
  <si>
    <t>RM TR104 Hi Temp Wax</t>
  </si>
  <si>
    <t>RM Pigment Super White (5Kg)</t>
  </si>
  <si>
    <t>RM CSM 450 Jushi 64m(L) X 1860mm(W) (67kg)</t>
  </si>
  <si>
    <t>21/4/22, 28/4/22, 21/5/22, 23/5/22, 28/6/22, 1/7/22, 12/7/22, 14/7/22</t>
  </si>
  <si>
    <t>DO246(2), DO254(2), DO270(1), DO274(2), DO293(2), DO295(3), DO296(2), DO298(2)</t>
  </si>
  <si>
    <t>Pigment Super White (5Kg)</t>
  </si>
  <si>
    <t>14/7/22</t>
  </si>
  <si>
    <t>DO298(1)</t>
  </si>
  <si>
    <t>DO298(12)</t>
  </si>
  <si>
    <t>DO298(6)</t>
  </si>
  <si>
    <t>DO281(1), DO284(1), DO285(2), DO288(1), DO291(1), Loose Pack(1), DO297(4), DO298(2), DO299(2)</t>
  </si>
  <si>
    <t>7/6/22, 10/6/22, 11/6/22, 14/6/22, 24/6/22, 30/6/22, 14/7/22, 14/7/22, 18/7/22</t>
  </si>
  <si>
    <t>25/5/22, 2/6/22, 18/6/22, 18/7/22</t>
  </si>
  <si>
    <t>DO276(1), DO278(1), DO289(1), DO299(1)</t>
  </si>
  <si>
    <t>29/6/22, 14/7/22, 18/7/22, 20/7/22</t>
  </si>
  <si>
    <t>DO294(2), DO297(9), DO299(8), DO300(1)</t>
  </si>
  <si>
    <t>16/5/22, 23/5/22, 9/6/22, 28/6/22, 29/6/22, 26/7/22</t>
  </si>
  <si>
    <t>DO266(2), DO272(4), DO282(4), DO293(2), DO294(4), DO303(4)</t>
  </si>
  <si>
    <t>RA CSM 450 Jushi 64m(L) x 1040mm(W) (37Kg)</t>
  </si>
  <si>
    <t>RM Resin 268BQTN (225Kg)</t>
  </si>
  <si>
    <t>RM Cobalt 10% (5kg)</t>
  </si>
  <si>
    <t xml:space="preserve">Tin </t>
  </si>
  <si>
    <t>RM Resin 3338W (220Kg)</t>
  </si>
  <si>
    <t>RA CSM 450 TWL 79m(L) x 1040mm(W) (30kg)</t>
  </si>
  <si>
    <t>RM Fume silica HJSIL 200 (10Kg)</t>
  </si>
  <si>
    <t>4/8/2022</t>
  </si>
  <si>
    <t>DO306(4)</t>
  </si>
  <si>
    <t>4/8/22</t>
  </si>
  <si>
    <t>DO306(1)</t>
  </si>
  <si>
    <t>28/6/22, 29/6/22, 4/8/22</t>
  </si>
  <si>
    <t>DO293(1), DO294(1), DO306</t>
  </si>
  <si>
    <t>DO306(6)</t>
  </si>
  <si>
    <t>6/8/22</t>
  </si>
  <si>
    <t>DO307(3)</t>
  </si>
  <si>
    <t>I-000591</t>
  </si>
  <si>
    <t>28/6/22, 29/6/22, 12/7/22, 23/7/22, 26/7/22, 29/7/22, 12/8/22</t>
  </si>
  <si>
    <t>DO293(1), DO294(7), DO296(2), DO301(2), DO303(5), DO305(2), DO310(1)</t>
  </si>
  <si>
    <t>20/7/22, 23/7/22, 26/7/22, 12/8/22</t>
  </si>
  <si>
    <t>DO300(1), DO301(6), DO303(10), DO310(3)</t>
  </si>
  <si>
    <t>15/8/22</t>
  </si>
  <si>
    <t>DO312(1)</t>
  </si>
  <si>
    <t>24/6/22, 24/6/22, 29/6/22, 14/7/22, 18/7/22, 23/7/22, 26/7/22, 6/8/22, 12/8/22, 15/8/22, 16/8/22</t>
  </si>
  <si>
    <t>DO291(4), DO292(2), DO294(10), DO297(4), DO299(2), DO301(2), DO303(5), DO307(2), DO310(1), DO313(3), DO314(5)</t>
  </si>
  <si>
    <t>15/2/22, 26/2/22, 8/3/22, 1/4/22, 11/5/22, 15/8/22</t>
  </si>
  <si>
    <t>DO199(3), DO208(1), DO210(2), DO230(2), DO261(1), DO313(1)</t>
  </si>
  <si>
    <t>24/3, 1/4, 21/5, 10/1/22, 8/4/22, 16/5/22, 15/8/22</t>
  </si>
  <si>
    <t>DO91(2), DO96(2), DO106(2), DO186(2), DO233(2), DO266(1), DO313(1)</t>
  </si>
  <si>
    <t>23/8/22</t>
  </si>
  <si>
    <t>DO315(4)</t>
  </si>
  <si>
    <t>DO317(3)</t>
  </si>
  <si>
    <t>25/8/22</t>
  </si>
  <si>
    <t>DO318(1)</t>
  </si>
  <si>
    <t xml:space="preserve">23/7/22, 29/7/22, 4/8/22, 6/8/22, 9/8/22, 15/8/22. 16/8/22, 23/8/22, 26/8/22, </t>
  </si>
  <si>
    <t>DO302(2), DO304(1), DO306(3), DO307(1), DO309(1), DO313(3), DO314(1), DO315(2), DO319(1)</t>
  </si>
  <si>
    <t>15/8/22, 23/8/22, 25/8/22, 26/8/22</t>
  </si>
  <si>
    <t>DO312(5), DO316(2), DO318(6), DO320(2)</t>
  </si>
  <si>
    <t>00004589</t>
  </si>
  <si>
    <t>2/9/22, 5/9/22</t>
  </si>
  <si>
    <t>DO321(3), DO322(2)</t>
  </si>
  <si>
    <t xml:space="preserve">26/8/22, 6/9/22, </t>
  </si>
  <si>
    <t>DO319(2), DO323(3)</t>
  </si>
  <si>
    <t>18/7/22, 23/7/22, 4/8/22, 6/8/22, 12/8/22, 23/8/22, 2/9/22, 6/9/22</t>
  </si>
  <si>
    <t>DO299(4), DO301(2), DO306(2), DO308(3), DO310(1), DO316(3), DO321(4), DO323(1)</t>
  </si>
  <si>
    <t>29/7/22, 4/8/22, 15/8/22</t>
  </si>
  <si>
    <t>DO305(1), DO306(2), DO312(3)</t>
  </si>
  <si>
    <t>RA Resin 3338W (220Kg)</t>
  </si>
  <si>
    <t>RM Vinly Ester Resin (20 Kg)</t>
  </si>
  <si>
    <t>RJ Butonox M50 (5kg)</t>
  </si>
  <si>
    <t>18/6/22, 24/6/22, 14/7/22, 18/7/22, 29/7/22, 4/8/22, 15/8/22, 16/8/22, 23/8/22, 6/9/22, 9/9/22</t>
  </si>
  <si>
    <t>DO289(2), DO291(1), DO298(1), DO299(4), DO304(1), DO306(1), DO312(4), DO314(1), DO315(2), DO323(4), DO324(3)</t>
  </si>
  <si>
    <t>9/9/22</t>
  </si>
  <si>
    <t>DO326(1)</t>
  </si>
  <si>
    <t>14/9/22</t>
  </si>
  <si>
    <t>DO329(4)</t>
  </si>
  <si>
    <t>23/8/22, 25/8/22, 26/8/22, 2/9/22, 6/9/22, 13/9/22, 13/9/22, 15/9/22, 23/9/22</t>
  </si>
  <si>
    <t>DO316(2), DO318(10), DO320(4), D0321(3), DO323(4), DO327(4), DO328(4), DO330(5), DO331(4)</t>
  </si>
  <si>
    <t>25/8/22, 9/9/22, 24/9/22</t>
  </si>
  <si>
    <t>D0318(10), DO324(8), DO332(2)</t>
  </si>
  <si>
    <t>25/8/22, 24/9/22</t>
  </si>
  <si>
    <t>DO318(1), DO332(1)</t>
  </si>
  <si>
    <t>DO307(6), DO314(3), DO316(5), DO330(4), DO333(2)</t>
  </si>
  <si>
    <t>6/8/22, 16/8/22, 23/8/22, 15/9/22, 26/9/22</t>
  </si>
  <si>
    <t>DO334*42Kg</t>
  </si>
  <si>
    <t>28/9/22</t>
  </si>
  <si>
    <t>DO336(1)</t>
  </si>
  <si>
    <t>4/6/22, 11/6/22, 18/6/22, 24/6/22, 14/7/22, 14/7/22, 20/7/22, 28/9/22</t>
  </si>
  <si>
    <t>DO280(5), DO285(1), DO289(1), DO292(2), DO297(5), DO298(3), DO300(1), DO336(2)</t>
  </si>
  <si>
    <t>DO336(4)</t>
  </si>
  <si>
    <t>30/9/22</t>
  </si>
  <si>
    <t>DO339-1(4)</t>
  </si>
  <si>
    <t>DO339-1(20)</t>
  </si>
  <si>
    <t>DO339-1(10)</t>
  </si>
  <si>
    <t>RM Brush 3" (12Pc)</t>
  </si>
  <si>
    <t>RM Pigment Orange (5Kg)</t>
  </si>
  <si>
    <t>1/10/22</t>
  </si>
  <si>
    <t>24/9/22, 26/9/22, 1/10/22</t>
  </si>
  <si>
    <t>DO332(5), DO334(1), DO338(4)</t>
  </si>
  <si>
    <t>13/9/22, 13/9/22, 23/9/22, 1/10/22</t>
  </si>
  <si>
    <t>DO327(4), DO328(4), DO331(1), DO338(1)</t>
  </si>
  <si>
    <t>3/10/22</t>
  </si>
  <si>
    <t>DO339-2(9)</t>
  </si>
  <si>
    <t>DO339-3(2)</t>
  </si>
  <si>
    <t>DO339-3(25)</t>
  </si>
  <si>
    <t>DO339-3(12)</t>
  </si>
  <si>
    <t>DO339-3(11)</t>
  </si>
  <si>
    <t>30/9/22, 1/10/22</t>
  </si>
  <si>
    <t>26/9/22, 1/10/22</t>
  </si>
  <si>
    <t>DO333(6), DO340(6)</t>
  </si>
  <si>
    <t>9/9/22, 9/9/22, 15/9/22, 26/9/22, 28/9/22, 28/9/22, 1/10/22, 2/10/22</t>
  </si>
  <si>
    <t>DO325(1), DO 326(1), DO330(1), DO333(1), DO336(3), DO337(1), DO340(1), DO341(1)</t>
  </si>
  <si>
    <t>DO342(2)</t>
  </si>
  <si>
    <t>24/9/22, 1/10/22, 13/10/22</t>
  </si>
  <si>
    <t>DO332(3), DO338(10), DO345(7)</t>
  </si>
  <si>
    <t>6/9/22, 13/9/22, 13/9/22, 26/9/22, 13/10/22</t>
  </si>
  <si>
    <t>DO323(5), DO327(5), DO328(5), DO334(1), DO345(4)</t>
  </si>
  <si>
    <t>12/8/22, 13/9/22, 1/10/22</t>
  </si>
  <si>
    <t>DO310(1), DO327(1), DO330-2(2)</t>
  </si>
  <si>
    <t>23/9/22, 24/9/22, 26/9/22, 28/9/22, 1/10/22, 1/10/22, 2/10/22, 13/10/22, 15/10/22</t>
  </si>
  <si>
    <t>DO331(1), DO332(5), DO333(10), DO337(1), DO338(10), DO340(5), DO341(3), DO345(3), DO347(2)</t>
  </si>
  <si>
    <t>15/10/22</t>
  </si>
  <si>
    <t>8/4, 21/5, 3/11, 11/1/22, 24/9/22, 15/10/22</t>
  </si>
  <si>
    <t>DO98(4), DO89(1),  DO154(4), DO187(4), DO332(4), DO347(3)</t>
  </si>
  <si>
    <t>DO347(1)</t>
  </si>
  <si>
    <t>17/10/22</t>
  </si>
  <si>
    <t>26/8/22, 2/9/22, 6/9/22, 13/9/22, 13/9/22, 23/9/22, 26/9/22, 28/9/22, 11/10/22, 13/10/22, 17/10/22, 18/10/22</t>
  </si>
  <si>
    <t>DO320(2), DO321(4), DO323(6), DO327(5), DO328(5), DO331(2), DO334(1), 336(2), 344(1), 345(1), 348(1), 350(2)</t>
  </si>
  <si>
    <t>20/10/22</t>
  </si>
  <si>
    <t>11/10/22, 11/10/22, 13/10/22, 15/10/22, 31/10/22</t>
  </si>
  <si>
    <t>RM Woven Roing 600 1000mm (40kg)</t>
  </si>
  <si>
    <t>DO343(1), DO344(1), DO345(3), DO347(5), DO356-1(5)</t>
  </si>
  <si>
    <t>27/10/22</t>
  </si>
  <si>
    <t>DO348-1(1)</t>
  </si>
  <si>
    <t>DO348(1)</t>
  </si>
  <si>
    <t>DO349(1)</t>
  </si>
  <si>
    <t>DO351(6)</t>
  </si>
  <si>
    <t>DO351(1)</t>
  </si>
  <si>
    <t>DO351(3)</t>
  </si>
  <si>
    <t>DO356-2(30)</t>
  </si>
  <si>
    <t>DO356-2(15)</t>
  </si>
  <si>
    <t>DO356-2(10)</t>
  </si>
  <si>
    <t>DO256-3(10)</t>
  </si>
  <si>
    <t>RM CSM 450 79m(L) x 1040mm(W) (30kg)</t>
  </si>
  <si>
    <t>13/10/22, 15/10/22, 21/10/22, 22/10/22, 22/10/22, 31/10/22, 31/10/22</t>
  </si>
  <si>
    <t>DO346(2), DO347(5), DO352(4), DO353(10), DO354(3), 356-1(15), 357(1)</t>
  </si>
  <si>
    <t>T27629</t>
  </si>
  <si>
    <t>T27648</t>
  </si>
  <si>
    <t>T27643</t>
  </si>
  <si>
    <t>T27666</t>
  </si>
  <si>
    <t>RM Gelcoat GSH (20Kg)</t>
  </si>
  <si>
    <t>28/10/22</t>
  </si>
  <si>
    <t>DO357(1)</t>
  </si>
  <si>
    <t>1/11/2022</t>
  </si>
  <si>
    <t>T27678</t>
  </si>
  <si>
    <t>DO358(1)</t>
  </si>
  <si>
    <t>9/4/22, 21/4/22, 12/5/22, 4/8/22, 15/8/22, 28/9/22, 18/10/22, 20/10/22, 3/11/22</t>
  </si>
  <si>
    <t>DO234(1), DO246(3), DO262(2), DO306(2), DO312(4), DO336(2), DO350(2), DO351(3), DO360(1)</t>
  </si>
  <si>
    <t>T27713</t>
  </si>
  <si>
    <t>RM Resin 3338W (20Kg)</t>
  </si>
  <si>
    <t>RM Resin 3338W (22.50Kg)</t>
  </si>
  <si>
    <t>RM VE Resin SW091-3P (22.50Kg)</t>
  </si>
  <si>
    <t>T27717</t>
  </si>
  <si>
    <t>T27739</t>
  </si>
  <si>
    <t>T27768</t>
  </si>
  <si>
    <t>5/11/22</t>
  </si>
  <si>
    <t>DO362(1)</t>
  </si>
  <si>
    <t>DO363(1)</t>
  </si>
  <si>
    <t>DO364(4)</t>
  </si>
  <si>
    <t>DO364(3)</t>
  </si>
  <si>
    <t>DO357(2), DO359(5), 365(4)</t>
  </si>
  <si>
    <t>31/10/22, 1/11/2022, 9/11/22, 11/11/22</t>
  </si>
  <si>
    <t>13/10/22, 31/10/22, 11/11/22</t>
  </si>
  <si>
    <t>DO345(1), DO356-1(2), 366(1)</t>
  </si>
  <si>
    <t>14/11/22</t>
  </si>
  <si>
    <t>DO367(2)</t>
  </si>
  <si>
    <t>RM CSM 300 96m(L) X 1860mm(W) (54kg)</t>
  </si>
  <si>
    <t>22/10/22, 31/10/22, 11/11/22, 14/11/22</t>
  </si>
  <si>
    <t>DO353(5), DO356-1(7), DO366(4), DO367(1)</t>
  </si>
  <si>
    <t>7/11/22</t>
  </si>
  <si>
    <t>8/11/22</t>
  </si>
  <si>
    <t>DO367(4)</t>
  </si>
  <si>
    <t>DO367(1)</t>
  </si>
  <si>
    <t>DO367(6)</t>
  </si>
  <si>
    <t>28/9/22, 1/10/22, 14/11/22</t>
  </si>
  <si>
    <t>DO336(1), DO338(1), DO367(1)</t>
  </si>
  <si>
    <t>4/11/22, 14/11/22</t>
  </si>
  <si>
    <t>DO361(4), DO367(4)</t>
  </si>
  <si>
    <t>3/11/22, 14/11/22, 15/11/22</t>
  </si>
  <si>
    <t>D0360(1), DO367(2), DO368(2)</t>
  </si>
  <si>
    <t>26/8/22, 26/9/22, 11/10/22, 15/11/22</t>
  </si>
  <si>
    <t>DO320(1), DO335(1), DO344(1), DO368(1)</t>
  </si>
  <si>
    <t>RA Resin 3338W (20Kg)</t>
  </si>
  <si>
    <t>DO371(3)</t>
  </si>
  <si>
    <t>RM MEKP-9 (3.6kg)</t>
  </si>
  <si>
    <t>RM Woven Roving 600 1000mm (40Kg)</t>
  </si>
  <si>
    <t>1/11/2022, 1/11/2022, 3/11/22, 11/11/22, 15/11/22, 22/11/22</t>
  </si>
  <si>
    <t>DO358(5), DO359(5), DO360(2), DO366(5), DO368(2), DO372(1)</t>
  </si>
  <si>
    <t>22/11/22</t>
  </si>
  <si>
    <t>DO372(6)</t>
  </si>
  <si>
    <t>15/10/22, 17/10/22, 27/10/22, 31/10/22, 1/11/22, 11/11/22, 22/11/22</t>
  </si>
  <si>
    <t>DO347(8), DO348(2), DO355(4), DO356-1(5), DO359(10), DO366(5), DO372(6)</t>
  </si>
  <si>
    <t>DO372(1)</t>
  </si>
  <si>
    <t>11/11/22, 22/11/22</t>
  </si>
  <si>
    <t>DO372(5)</t>
  </si>
  <si>
    <t>DO366(5), DO372(11)</t>
  </si>
  <si>
    <t>13/10/22, 17/10/22, 21/10/220, 22/10/22, 22/10/22, 31/10/22, 9/11/22, 14/11/22, 22/11/22, 29/11/22</t>
  </si>
  <si>
    <t>DO346(1), DO348(1), DO352(1), DO353(2), DO354(1), DO357(1), DO365(1), DO367(4), DO370(1), DO373(2)</t>
  </si>
  <si>
    <t>26/9/22, 11/10/22, 29/11/22</t>
  </si>
  <si>
    <t>DO335(1), DO343(1), DO373(1)</t>
  </si>
  <si>
    <t>29/11/22</t>
  </si>
  <si>
    <t xml:space="preserve">14/11/22, </t>
  </si>
  <si>
    <t xml:space="preserve">DO367(6), </t>
  </si>
  <si>
    <t>6/1/22, 14/5/22, 11/10/22, 17/10/22, 29/11/22</t>
  </si>
  <si>
    <t>DO183(3), DO264(2), DO344(1), DO348(2), DO373(3)</t>
  </si>
  <si>
    <t>Gelcoat GPH (20kg)</t>
  </si>
  <si>
    <t>Dozen</t>
  </si>
  <si>
    <t>DO374(5)</t>
  </si>
  <si>
    <t>DO374(1)</t>
  </si>
  <si>
    <t>22/11/22, 29/11/22</t>
  </si>
  <si>
    <t>DO372(1), DO374(5)</t>
  </si>
  <si>
    <t>29/11/22, 29/11/22</t>
  </si>
  <si>
    <t>DO373(5), DO374(5)</t>
  </si>
  <si>
    <t>29/11/11</t>
  </si>
  <si>
    <t>31/10/22</t>
  </si>
  <si>
    <t>DO374(4)</t>
  </si>
  <si>
    <t>DO373(1)</t>
  </si>
  <si>
    <t>30/11/22, 30/11/22</t>
  </si>
  <si>
    <t>DO375(1), D0376(1)</t>
  </si>
  <si>
    <t>17/11/22, 29/11/22, 29/11/22, 30/11/22</t>
  </si>
  <si>
    <t xml:space="preserve">Ban Hin </t>
  </si>
  <si>
    <t>RN Bosny Wax (15Kg)</t>
  </si>
  <si>
    <r>
      <t xml:space="preserve">9/9/22, 9/9/22, 13/9/22, 15/9/22, </t>
    </r>
    <r>
      <rPr>
        <sz val="11"/>
        <color rgb="FFFF0000"/>
        <rFont val="Calibri"/>
        <family val="2"/>
        <scheme val="minor"/>
      </rPr>
      <t>28/9/22</t>
    </r>
    <r>
      <rPr>
        <sz val="11"/>
        <rFont val="Calibri"/>
        <family val="2"/>
        <scheme val="minor"/>
      </rPr>
      <t>, 28/9/22, 20/10/22, 5/11/22, 8/11/22, 9/11/22, 11/11/22</t>
    </r>
  </si>
  <si>
    <r>
      <t xml:space="preserve">DO324(1), DO326(1), DO327(4), DO330(1), </t>
    </r>
    <r>
      <rPr>
        <sz val="11"/>
        <color rgb="FFFF0000"/>
        <rFont val="Calibri"/>
        <family val="2"/>
        <scheme val="minor"/>
      </rPr>
      <t>DO336(1)</t>
    </r>
    <r>
      <rPr>
        <sz val="11"/>
        <rFont val="Calibri"/>
        <family val="2"/>
        <scheme val="minor"/>
      </rPr>
      <t>, DO337(1), DO351(4), DO362(1), DO364(1), DO365(1), DO366(4)</t>
    </r>
  </si>
  <si>
    <t>15/8/22, 26/8/22, 23/9/22, 24/9/22, 26/9/22, 26/9/22, 1/10/22</t>
  </si>
  <si>
    <r>
      <t>DO313(6), DO320(1), DO331(1),</t>
    </r>
    <r>
      <rPr>
        <sz val="11"/>
        <color rgb="FFFF0000"/>
        <rFont val="Calibri"/>
        <family val="2"/>
        <scheme val="minor"/>
      </rPr>
      <t xml:space="preserve"> DO332(4)</t>
    </r>
    <r>
      <rPr>
        <sz val="11"/>
        <rFont val="Calibri"/>
        <family val="2"/>
        <scheme val="minor"/>
      </rPr>
      <t xml:space="preserve">, DO333(1), DO335(1), </t>
    </r>
    <r>
      <rPr>
        <sz val="11"/>
        <color rgb="FFFF0000"/>
        <rFont val="Calibri"/>
        <family val="2"/>
        <scheme val="minor"/>
      </rPr>
      <t>DO338(2)</t>
    </r>
  </si>
  <si>
    <r>
      <rPr>
        <sz val="11"/>
        <color rgb="FFFF0000"/>
        <rFont val="Calibri"/>
        <family val="2"/>
        <scheme val="minor"/>
      </rPr>
      <t>DO338(2)</t>
    </r>
    <r>
      <rPr>
        <sz val="11"/>
        <rFont val="Calibri"/>
        <family val="2"/>
        <scheme val="minor"/>
      </rPr>
      <t>, DO339-2(4), DO340(1), DO341(6), DO344(1), DO345(2), DO346(1), DO347(4), DO348(1), DO354(1), DO356-1(4), DO357(1), DO359(4)</t>
    </r>
  </si>
  <si>
    <t>DO369(1), DO373(6), DO374(4), DO376(1)</t>
  </si>
  <si>
    <r>
      <rPr>
        <sz val="11"/>
        <color rgb="FFFF0000"/>
        <rFont val="Calibri"/>
        <family val="2"/>
        <scheme val="minor"/>
      </rPr>
      <t>1/10/23,</t>
    </r>
    <r>
      <rPr>
        <sz val="11"/>
        <rFont val="Calibri"/>
        <family val="2"/>
        <scheme val="minor"/>
      </rPr>
      <t xml:space="preserve"> 3/10/22, 1/10/22, 2/10/22, 11/10/22, 13/10/22, 13/10/22, 15/10/22, 17/10/22, 22/10/22, </t>
    </r>
    <r>
      <rPr>
        <sz val="11"/>
        <color rgb="FFFF0000"/>
        <rFont val="Calibri"/>
        <family val="2"/>
        <scheme val="minor"/>
      </rPr>
      <t>27/10/22</t>
    </r>
    <r>
      <rPr>
        <sz val="11"/>
        <rFont val="Calibri"/>
        <family val="2"/>
        <scheme val="minor"/>
      </rPr>
      <t>, 31/10/22, 1/11/22,</t>
    </r>
  </si>
  <si>
    <t>Ban Hin  Total</t>
  </si>
  <si>
    <t>T27772</t>
  </si>
  <si>
    <t>T27848</t>
  </si>
  <si>
    <t>T27856</t>
  </si>
  <si>
    <t>RN</t>
  </si>
  <si>
    <t>Ban Hing Hardware Sdn Bhd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</si>
</sst>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RM&quot;#,##0;[Red]\-&quot;RM&quot;#,##0"/>
    <numFmt numFmtId="43" formatCode="_-* #,##0.00_-;\-* #,##0.00_-;_-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rgb="FFFF000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FF9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8">
    <xf numFmtId="0" fontId="0" fillId="0" borderId="0" xfId="0"/>
    <xf numFmtId="0" fontId="0" fillId="0" borderId="3" xfId="0" applyBorder="1" applyAlignment="1">
      <alignment horizontal="center"/>
    </xf>
    <xf numFmtId="0" fontId="0" fillId="0" borderId="4" xfId="0" applyBorder="1"/>
    <xf numFmtId="0" fontId="0" fillId="0" borderId="6" xfId="0" applyBorder="1" applyAlignment="1">
      <alignment horizontal="center"/>
    </xf>
    <xf numFmtId="0" fontId="2" fillId="0" borderId="0" xfId="0" applyFont="1"/>
    <xf numFmtId="43" fontId="2" fillId="0" borderId="4" xfId="1" applyFont="1" applyBorder="1"/>
    <xf numFmtId="0" fontId="0" fillId="0" borderId="1" xfId="0" applyBorder="1" applyAlignment="1">
      <alignment horizontal="center" wrapText="1"/>
    </xf>
    <xf numFmtId="0" fontId="0" fillId="2" borderId="2" xfId="0" applyFill="1" applyBorder="1"/>
    <xf numFmtId="43" fontId="2" fillId="0" borderId="2" xfId="1" applyFont="1" applyBorder="1"/>
    <xf numFmtId="43" fontId="0" fillId="0" borderId="4" xfId="1" applyFont="1" applyBorder="1"/>
    <xf numFmtId="0" fontId="0" fillId="0" borderId="0" xfId="0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4" xfId="0" quotePrefix="1" applyBorder="1" applyAlignment="1">
      <alignment wrapText="1"/>
    </xf>
    <xf numFmtId="0" fontId="0" fillId="0" borderId="4" xfId="0" applyBorder="1" applyAlignment="1">
      <alignment wrapText="1"/>
    </xf>
    <xf numFmtId="0" fontId="0" fillId="0" borderId="5" xfId="0" applyBorder="1" applyAlignment="1">
      <alignment wrapText="1"/>
    </xf>
    <xf numFmtId="14" fontId="0" fillId="0" borderId="5" xfId="0" applyNumberFormat="1" applyBorder="1" applyAlignment="1">
      <alignment wrapText="1"/>
    </xf>
    <xf numFmtId="14" fontId="0" fillId="0" borderId="4" xfId="0" quotePrefix="1" applyNumberFormat="1" applyBorder="1" applyAlignment="1">
      <alignment wrapText="1"/>
    </xf>
    <xf numFmtId="14" fontId="0" fillId="0" borderId="4" xfId="0" applyNumberFormat="1" applyBorder="1" applyAlignment="1">
      <alignment wrapText="1"/>
    </xf>
    <xf numFmtId="16" fontId="0" fillId="0" borderId="4" xfId="0" quotePrefix="1" applyNumberFormat="1" applyBorder="1" applyAlignment="1">
      <alignment wrapText="1"/>
    </xf>
    <xf numFmtId="0" fontId="0" fillId="0" borderId="2" xfId="0" quotePrefix="1" applyBorder="1" applyAlignment="1">
      <alignment wrapText="1"/>
    </xf>
    <xf numFmtId="16" fontId="0" fillId="0" borderId="2" xfId="0" quotePrefix="1" applyNumberFormat="1" applyBorder="1" applyAlignment="1">
      <alignment wrapText="1"/>
    </xf>
    <xf numFmtId="0" fontId="0" fillId="0" borderId="7" xfId="0" applyBorder="1"/>
    <xf numFmtId="14" fontId="2" fillId="0" borderId="4" xfId="0" applyNumberFormat="1" applyFont="1" applyBorder="1" applyAlignment="1">
      <alignment horizontal="center"/>
    </xf>
    <xf numFmtId="0" fontId="0" fillId="0" borderId="2" xfId="0" applyBorder="1" applyAlignment="1">
      <alignment wrapText="1"/>
    </xf>
    <xf numFmtId="0" fontId="2" fillId="0" borderId="0" xfId="0" applyFont="1" applyAlignment="1">
      <alignment horizontal="center"/>
    </xf>
    <xf numFmtId="14" fontId="0" fillId="0" borderId="4" xfId="0" applyNumberFormat="1" applyBorder="1" applyAlignment="1">
      <alignment horizontal="center"/>
    </xf>
    <xf numFmtId="16" fontId="0" fillId="0" borderId="2" xfId="0" quotePrefix="1" applyNumberFormat="1" applyBorder="1"/>
    <xf numFmtId="0" fontId="0" fillId="0" borderId="2" xfId="0" quotePrefix="1" applyBorder="1"/>
    <xf numFmtId="14" fontId="2" fillId="0" borderId="4" xfId="0" applyNumberFormat="1" applyFont="1" applyBorder="1" applyAlignment="1">
      <alignment horizontal="left" wrapText="1"/>
    </xf>
    <xf numFmtId="14" fontId="2" fillId="0" borderId="0" xfId="0" applyNumberFormat="1" applyFont="1" applyAlignment="1">
      <alignment horizontal="left" wrapText="1"/>
    </xf>
    <xf numFmtId="14" fontId="0" fillId="0" borderId="0" xfId="0" applyNumberFormat="1" applyAlignment="1">
      <alignment horizontal="left" wrapText="1"/>
    </xf>
    <xf numFmtId="0" fontId="0" fillId="0" borderId="0" xfId="0" pivotButton="1"/>
    <xf numFmtId="0" fontId="0" fillId="2" borderId="0" xfId="0" applyFill="1"/>
    <xf numFmtId="0" fontId="2" fillId="0" borderId="4" xfId="0" applyFont="1" applyBorder="1"/>
    <xf numFmtId="0" fontId="0" fillId="0" borderId="8" xfId="0" applyBorder="1" applyAlignment="1">
      <alignment horizontal="center" wrapText="1"/>
    </xf>
    <xf numFmtId="0" fontId="2" fillId="0" borderId="7" xfId="0" applyFont="1" applyBorder="1"/>
    <xf numFmtId="0" fontId="0" fillId="3" borderId="7" xfId="0" applyFill="1" applyBorder="1"/>
    <xf numFmtId="0" fontId="0" fillId="0" borderId="4" xfId="0" applyBorder="1" applyAlignment="1">
      <alignment horizontal="left" wrapText="1"/>
    </xf>
    <xf numFmtId="0" fontId="0" fillId="0" borderId="0" xfId="0" applyAlignment="1">
      <alignment horizontal="left" wrapText="1"/>
    </xf>
    <xf numFmtId="0" fontId="0" fillId="0" borderId="7" xfId="0" applyBorder="1" applyAlignment="1">
      <alignment horizontal="left" wrapText="1"/>
    </xf>
    <xf numFmtId="0" fontId="0" fillId="0" borderId="0" xfId="0" applyAlignment="1">
      <alignment horizontal="left"/>
    </xf>
    <xf numFmtId="14" fontId="0" fillId="0" borderId="4" xfId="0" applyNumberFormat="1" applyBorder="1" applyAlignment="1">
      <alignment horizontal="left" wrapText="1"/>
    </xf>
    <xf numFmtId="0" fontId="6" fillId="0" borderId="0" xfId="0" applyFont="1" applyAlignment="1">
      <alignment wrapText="1"/>
    </xf>
    <xf numFmtId="0" fontId="8" fillId="2" borderId="2" xfId="0" applyFont="1" applyFill="1" applyBorder="1"/>
    <xf numFmtId="43" fontId="0" fillId="0" borderId="4" xfId="1" applyFont="1" applyFill="1" applyBorder="1"/>
    <xf numFmtId="0" fontId="0" fillId="2" borderId="4" xfId="0" applyFill="1" applyBorder="1"/>
    <xf numFmtId="0" fontId="2" fillId="0" borderId="4" xfId="0" applyFont="1" applyBorder="1" applyAlignment="1">
      <alignment wrapText="1"/>
    </xf>
    <xf numFmtId="0" fontId="0" fillId="0" borderId="4" xfId="0" quotePrefix="1" applyBorder="1"/>
    <xf numFmtId="16" fontId="0" fillId="0" borderId="4" xfId="0" quotePrefix="1" applyNumberFormat="1" applyBorder="1"/>
    <xf numFmtId="0" fontId="0" fillId="0" borderId="7" xfId="0" applyBorder="1" applyAlignment="1">
      <alignment horizontal="center"/>
    </xf>
    <xf numFmtId="0" fontId="0" fillId="4" borderId="0" xfId="0" applyFill="1"/>
    <xf numFmtId="4" fontId="0" fillId="0" borderId="0" xfId="0" applyNumberFormat="1"/>
    <xf numFmtId="4" fontId="0" fillId="4" borderId="0" xfId="0" applyNumberFormat="1" applyFill="1"/>
    <xf numFmtId="0" fontId="0" fillId="6" borderId="0" xfId="0" applyFill="1"/>
    <xf numFmtId="4" fontId="0" fillId="6" borderId="0" xfId="0" applyNumberFormat="1" applyFill="1"/>
    <xf numFmtId="0" fontId="9" fillId="0" borderId="0" xfId="0" applyFont="1"/>
    <xf numFmtId="0" fontId="9" fillId="0" borderId="4" xfId="0" applyFont="1" applyBorder="1" applyAlignment="1">
      <alignment wrapText="1"/>
    </xf>
    <xf numFmtId="43" fontId="2" fillId="5" borderId="4" xfId="1" applyFont="1" applyFill="1" applyBorder="1"/>
    <xf numFmtId="43" fontId="0" fillId="5" borderId="4" xfId="1" applyFont="1" applyFill="1" applyBorder="1"/>
    <xf numFmtId="9" fontId="0" fillId="0" borderId="4" xfId="2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10" fillId="0" borderId="0" xfId="0" applyFont="1"/>
    <xf numFmtId="0" fontId="8" fillId="0" borderId="4" xfId="0" applyFont="1" applyBorder="1"/>
    <xf numFmtId="0" fontId="8" fillId="0" borderId="4" xfId="0" applyFont="1" applyBorder="1" applyAlignment="1">
      <alignment horizontal="center"/>
    </xf>
    <xf numFmtId="43" fontId="8" fillId="5" borderId="4" xfId="1" applyFont="1" applyFill="1" applyBorder="1"/>
    <xf numFmtId="0" fontId="8" fillId="2" borderId="4" xfId="0" applyFont="1" applyFill="1" applyBorder="1"/>
    <xf numFmtId="0" fontId="8" fillId="0" borderId="4" xfId="0" applyFont="1" applyBorder="1" applyAlignment="1">
      <alignment wrapText="1"/>
    </xf>
    <xf numFmtId="0" fontId="8" fillId="0" borderId="0" xfId="0" applyFont="1"/>
    <xf numFmtId="14" fontId="8" fillId="0" borderId="4" xfId="0" applyNumberFormat="1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8" fillId="0" borderId="4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0" fontId="8" fillId="0" borderId="4" xfId="0" quotePrefix="1" applyFont="1" applyBorder="1"/>
    <xf numFmtId="0" fontId="0" fillId="0" borderId="2" xfId="0" applyBorder="1" applyAlignment="1">
      <alignment horizontal="left" wrapText="1"/>
    </xf>
    <xf numFmtId="43" fontId="8" fillId="0" borderId="4" xfId="1" applyFont="1" applyBorder="1"/>
    <xf numFmtId="16" fontId="8" fillId="0" borderId="4" xfId="0" quotePrefix="1" applyNumberFormat="1" applyFont="1" applyBorder="1"/>
    <xf numFmtId="14" fontId="8" fillId="0" borderId="4" xfId="0" quotePrefix="1" applyNumberFormat="1" applyFont="1" applyBorder="1" applyAlignment="1">
      <alignment horizontal="center"/>
    </xf>
    <xf numFmtId="14" fontId="2" fillId="0" borderId="2" xfId="0" applyNumberFormat="1" applyFont="1" applyBorder="1" applyAlignment="1">
      <alignment horizontal="left" wrapText="1"/>
    </xf>
    <xf numFmtId="0" fontId="8" fillId="0" borderId="4" xfId="0" quotePrefix="1" applyFont="1" applyBorder="1" applyAlignment="1">
      <alignment wrapText="1"/>
    </xf>
    <xf numFmtId="0" fontId="8" fillId="0" borderId="2" xfId="0" applyFont="1" applyBorder="1"/>
    <xf numFmtId="0" fontId="8" fillId="0" borderId="7" xfId="0" applyFont="1" applyBorder="1"/>
    <xf numFmtId="14" fontId="2" fillId="0" borderId="4" xfId="0" applyNumberFormat="1" applyFont="1" applyBorder="1"/>
    <xf numFmtId="0" fontId="8" fillId="0" borderId="7" xfId="0" quotePrefix="1" applyFont="1" applyBorder="1"/>
    <xf numFmtId="16" fontId="8" fillId="0" borderId="4" xfId="0" quotePrefix="1" applyNumberFormat="1" applyFont="1" applyBorder="1" applyAlignment="1">
      <alignment wrapText="1"/>
    </xf>
    <xf numFmtId="14" fontId="2" fillId="3" borderId="0" xfId="0" applyNumberFormat="1" applyFont="1" applyFill="1" applyAlignment="1">
      <alignment horizontal="left" wrapText="1"/>
    </xf>
    <xf numFmtId="0" fontId="0" fillId="3" borderId="4" xfId="0" applyFill="1" applyBorder="1" applyAlignment="1">
      <alignment wrapText="1"/>
    </xf>
    <xf numFmtId="43" fontId="8" fillId="0" borderId="4" xfId="1" quotePrefix="1" applyFont="1" applyBorder="1"/>
    <xf numFmtId="0" fontId="8" fillId="3" borderId="4" xfId="0" applyFont="1" applyFill="1" applyBorder="1" applyAlignment="1">
      <alignment wrapText="1"/>
    </xf>
    <xf numFmtId="0" fontId="0" fillId="7" borderId="0" xfId="0" applyFill="1"/>
    <xf numFmtId="4" fontId="0" fillId="7" borderId="0" xfId="0" applyNumberFormat="1" applyFill="1"/>
    <xf numFmtId="43" fontId="8" fillId="0" borderId="4" xfId="1" applyFont="1" applyFill="1" applyBorder="1"/>
    <xf numFmtId="0" fontId="8" fillId="3" borderId="0" xfId="0" applyFont="1" applyFill="1"/>
    <xf numFmtId="6" fontId="2" fillId="0" borderId="2" xfId="0" applyNumberFormat="1" applyFont="1" applyBorder="1" applyAlignment="1">
      <alignment horizontal="left" wrapText="1"/>
    </xf>
    <xf numFmtId="0" fontId="0" fillId="3" borderId="0" xfId="0" applyFill="1"/>
    <xf numFmtId="0" fontId="8" fillId="0" borderId="7" xfId="0" quotePrefix="1" applyFont="1" applyBorder="1" applyAlignment="1">
      <alignment horizontal="center"/>
    </xf>
    <xf numFmtId="14" fontId="2" fillId="0" borderId="4" xfId="0" applyNumberFormat="1" applyFont="1" applyBorder="1" applyAlignment="1">
      <alignment horizontal="center" wrapText="1"/>
    </xf>
    <xf numFmtId="49" fontId="0" fillId="3" borderId="4" xfId="0" quotePrefix="1" applyNumberFormat="1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0" borderId="4" xfId="0" quotePrefix="1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7" xfId="0" quotePrefix="1" applyBorder="1" applyAlignment="1">
      <alignment horizontal="center"/>
    </xf>
    <xf numFmtId="0" fontId="8" fillId="0" borderId="4" xfId="0" quotePrefix="1" applyFont="1" applyBorder="1" applyAlignment="1">
      <alignment horizontal="center"/>
    </xf>
    <xf numFmtId="0" fontId="8" fillId="3" borderId="7" xfId="0" quotePrefix="1" applyFont="1" applyFill="1" applyBorder="1" applyAlignment="1">
      <alignment horizontal="center"/>
    </xf>
    <xf numFmtId="0" fontId="0" fillId="3" borderId="4" xfId="0" quotePrefix="1" applyFill="1" applyBorder="1" applyAlignment="1">
      <alignment horizontal="center"/>
    </xf>
    <xf numFmtId="14" fontId="11" fillId="0" borderId="4" xfId="0" applyNumberFormat="1" applyFont="1" applyBorder="1" applyAlignment="1">
      <alignment horizontal="center"/>
    </xf>
  </cellXfs>
  <cellStyles count="3">
    <cellStyle name="Comma" xfId="1" builtinId="3"/>
    <cellStyle name="Normal" xfId="0" builtinId="0"/>
    <cellStyle name="Percent" xfId="2" builtinId="5"/>
  </cellStyles>
  <dxfs count="10">
    <dxf>
      <fill>
        <patternFill patternType="solid">
          <bgColor rgb="FFCCFFCC"/>
        </patternFill>
      </fill>
    </dxf>
    <dxf>
      <fill>
        <patternFill>
          <bgColor rgb="FF00B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5" tint="0.59999389629810485"/>
        </patternFill>
      </fill>
    </dxf>
    <dxf>
      <numFmt numFmtId="4" formatCode="#,##0.00"/>
    </dxf>
    <dxf>
      <numFmt numFmtId="4" formatCode="#,##0.00"/>
    </dxf>
    <dxf>
      <numFmt numFmtId="4" formatCode="#,##0.00"/>
    </dxf>
    <dxf>
      <fill>
        <patternFill patternType="solid">
          <bgColor rgb="FFFFFF66"/>
        </patternFill>
      </fill>
    </dxf>
    <dxf>
      <fill>
        <patternFill>
          <bgColor rgb="FF99FFCC"/>
        </patternFill>
      </fill>
    </dxf>
    <dxf>
      <fill>
        <patternFill patternType="solid">
          <bgColor rgb="FFFFFFFF"/>
        </patternFill>
      </fill>
    </dxf>
  </dxfs>
  <tableStyles count="0" defaultTableStyle="TableStyleMedium2" defaultPivotStyle="PivotStyleLight16"/>
  <colors>
    <mruColors>
      <color rgb="FFCCFFCC"/>
      <color rgb="FF99FFCC"/>
      <color rgb="FFFFFF66"/>
      <color rgb="FFFFFF99"/>
      <color rgb="FF99FF99"/>
      <color rgb="FF66FF99"/>
      <color rgb="FFFFFFCC"/>
      <color rgb="FFCCFFFF"/>
      <color rgb="FFCCEC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84" Type="http://schemas.openxmlformats.org/officeDocument/2006/relationships/image" Target="../media/image84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6" Type="http://schemas.openxmlformats.org/officeDocument/2006/relationships/image" Target="../media/image16.emf"/><Relationship Id="rId107" Type="http://schemas.openxmlformats.org/officeDocument/2006/relationships/image" Target="../media/image107.emf"/><Relationship Id="rId11" Type="http://schemas.openxmlformats.org/officeDocument/2006/relationships/image" Target="../media/image11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74" Type="http://schemas.openxmlformats.org/officeDocument/2006/relationships/image" Target="../media/image74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28" Type="http://schemas.openxmlformats.org/officeDocument/2006/relationships/image" Target="../media/image128.emf"/><Relationship Id="rId5" Type="http://schemas.openxmlformats.org/officeDocument/2006/relationships/image" Target="../media/image5.emf"/><Relationship Id="rId90" Type="http://schemas.openxmlformats.org/officeDocument/2006/relationships/image" Target="../media/image90.emf"/><Relationship Id="rId95" Type="http://schemas.openxmlformats.org/officeDocument/2006/relationships/image" Target="../media/image95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64" Type="http://schemas.openxmlformats.org/officeDocument/2006/relationships/image" Target="../media/image64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18" Type="http://schemas.openxmlformats.org/officeDocument/2006/relationships/image" Target="../media/image118.emf"/><Relationship Id="rId80" Type="http://schemas.openxmlformats.org/officeDocument/2006/relationships/image" Target="../media/image80.emf"/><Relationship Id="rId85" Type="http://schemas.openxmlformats.org/officeDocument/2006/relationships/image" Target="../media/image85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08" Type="http://schemas.openxmlformats.org/officeDocument/2006/relationships/image" Target="../media/image108.emf"/><Relationship Id="rId124" Type="http://schemas.openxmlformats.org/officeDocument/2006/relationships/image" Target="../media/image124.emf"/><Relationship Id="rId129" Type="http://schemas.openxmlformats.org/officeDocument/2006/relationships/image" Target="../media/image129.emf"/><Relationship Id="rId54" Type="http://schemas.openxmlformats.org/officeDocument/2006/relationships/image" Target="../media/image54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91" Type="http://schemas.openxmlformats.org/officeDocument/2006/relationships/image" Target="../media/image91.emf"/><Relationship Id="rId96" Type="http://schemas.openxmlformats.org/officeDocument/2006/relationships/image" Target="../media/image9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119" Type="http://schemas.openxmlformats.org/officeDocument/2006/relationships/image" Target="../media/image119.emf"/><Relationship Id="rId44" Type="http://schemas.openxmlformats.org/officeDocument/2006/relationships/image" Target="../media/image44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81" Type="http://schemas.openxmlformats.org/officeDocument/2006/relationships/image" Target="../media/image81.emf"/><Relationship Id="rId86" Type="http://schemas.openxmlformats.org/officeDocument/2006/relationships/image" Target="../media/image86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109" Type="http://schemas.openxmlformats.org/officeDocument/2006/relationships/image" Target="../media/image109.emf"/><Relationship Id="rId34" Type="http://schemas.openxmlformats.org/officeDocument/2006/relationships/image" Target="../media/image34.emf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76" Type="http://schemas.openxmlformats.org/officeDocument/2006/relationships/image" Target="../media/image76.emf"/><Relationship Id="rId97" Type="http://schemas.openxmlformats.org/officeDocument/2006/relationships/image" Target="../media/image97.emf"/><Relationship Id="rId104" Type="http://schemas.openxmlformats.org/officeDocument/2006/relationships/image" Target="../media/image104.emf"/><Relationship Id="rId120" Type="http://schemas.openxmlformats.org/officeDocument/2006/relationships/image" Target="../media/image120.emf"/><Relationship Id="rId125" Type="http://schemas.openxmlformats.org/officeDocument/2006/relationships/image" Target="../media/image125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4" Type="http://schemas.openxmlformats.org/officeDocument/2006/relationships/image" Target="../media/image24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66" Type="http://schemas.openxmlformats.org/officeDocument/2006/relationships/image" Target="../media/image66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115" Type="http://schemas.openxmlformats.org/officeDocument/2006/relationships/image" Target="../media/image115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" Type="http://schemas.openxmlformats.org/officeDocument/2006/relationships/image" Target="../media/image19.emf"/><Relationship Id="rId14" Type="http://schemas.openxmlformats.org/officeDocument/2006/relationships/image" Target="../media/image14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56" Type="http://schemas.openxmlformats.org/officeDocument/2006/relationships/image" Target="../media/image56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3" Type="http://schemas.openxmlformats.org/officeDocument/2006/relationships/image" Target="../media/image3.emf"/><Relationship Id="rId25" Type="http://schemas.openxmlformats.org/officeDocument/2006/relationships/image" Target="../media/image25.emf"/><Relationship Id="rId46" Type="http://schemas.openxmlformats.org/officeDocument/2006/relationships/image" Target="../media/image46.emf"/><Relationship Id="rId67" Type="http://schemas.openxmlformats.org/officeDocument/2006/relationships/image" Target="../media/image67.emf"/><Relationship Id="rId116" Type="http://schemas.openxmlformats.org/officeDocument/2006/relationships/image" Target="../media/image11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" Type="http://schemas.openxmlformats.org/officeDocument/2006/relationships/image" Target="../media/image15.emf"/><Relationship Id="rId36" Type="http://schemas.openxmlformats.org/officeDocument/2006/relationships/image" Target="../media/image36.emf"/><Relationship Id="rId57" Type="http://schemas.openxmlformats.org/officeDocument/2006/relationships/image" Target="../media/image57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78" Type="http://schemas.openxmlformats.org/officeDocument/2006/relationships/image" Target="../media/image78.emf"/><Relationship Id="rId94" Type="http://schemas.openxmlformats.org/officeDocument/2006/relationships/image" Target="../media/image94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26" Type="http://schemas.openxmlformats.org/officeDocument/2006/relationships/image" Target="../media/image26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emf"/><Relationship Id="rId2" Type="http://schemas.openxmlformats.org/officeDocument/2006/relationships/image" Target="../media/image132.emf"/><Relationship Id="rId1" Type="http://schemas.openxmlformats.org/officeDocument/2006/relationships/image" Target="../media/image131.emf"/><Relationship Id="rId4" Type="http://schemas.openxmlformats.org/officeDocument/2006/relationships/image" Target="../media/image13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9</xdr:row>
          <xdr:rowOff>57150</xdr:rowOff>
        </xdr:from>
        <xdr:to>
          <xdr:col>19</xdr:col>
          <xdr:colOff>406400</xdr:colOff>
          <xdr:row>9</xdr:row>
          <xdr:rowOff>342900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1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13</xdr:row>
          <xdr:rowOff>114300</xdr:rowOff>
        </xdr:from>
        <xdr:to>
          <xdr:col>19</xdr:col>
          <xdr:colOff>425450</xdr:colOff>
          <xdr:row>13</xdr:row>
          <xdr:rowOff>387350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18</xdr:row>
          <xdr:rowOff>266700</xdr:rowOff>
        </xdr:from>
        <xdr:to>
          <xdr:col>19</xdr:col>
          <xdr:colOff>508000</xdr:colOff>
          <xdr:row>18</xdr:row>
          <xdr:rowOff>596900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1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20</xdr:row>
          <xdr:rowOff>76200</xdr:rowOff>
        </xdr:from>
        <xdr:to>
          <xdr:col>19</xdr:col>
          <xdr:colOff>381000</xdr:colOff>
          <xdr:row>20</xdr:row>
          <xdr:rowOff>330200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1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23</xdr:row>
          <xdr:rowOff>44450</xdr:rowOff>
        </xdr:from>
        <xdr:to>
          <xdr:col>19</xdr:col>
          <xdr:colOff>381000</xdr:colOff>
          <xdr:row>23</xdr:row>
          <xdr:rowOff>304800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24</xdr:row>
          <xdr:rowOff>6350</xdr:rowOff>
        </xdr:from>
        <xdr:to>
          <xdr:col>19</xdr:col>
          <xdr:colOff>406400</xdr:colOff>
          <xdr:row>25</xdr:row>
          <xdr:rowOff>0</xdr:rowOff>
        </xdr:to>
        <xdr:sp macro="" textlink="">
          <xdr:nvSpPr>
            <xdr:cNvPr id="2056" name="Object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27</xdr:row>
          <xdr:rowOff>12700</xdr:rowOff>
        </xdr:from>
        <xdr:to>
          <xdr:col>19</xdr:col>
          <xdr:colOff>425450</xdr:colOff>
          <xdr:row>27</xdr:row>
          <xdr:rowOff>304800</xdr:rowOff>
        </xdr:to>
        <xdr:sp macro="" textlink="">
          <xdr:nvSpPr>
            <xdr:cNvPr id="2058" name="Object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1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30</xdr:row>
          <xdr:rowOff>82550</xdr:rowOff>
        </xdr:from>
        <xdr:to>
          <xdr:col>19</xdr:col>
          <xdr:colOff>425450</xdr:colOff>
          <xdr:row>30</xdr:row>
          <xdr:rowOff>311150</xdr:rowOff>
        </xdr:to>
        <xdr:sp macro="" textlink="">
          <xdr:nvSpPr>
            <xdr:cNvPr id="2059" name="Object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1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32</xdr:row>
          <xdr:rowOff>12700</xdr:rowOff>
        </xdr:from>
        <xdr:to>
          <xdr:col>19</xdr:col>
          <xdr:colOff>438150</xdr:colOff>
          <xdr:row>33</xdr:row>
          <xdr:rowOff>31750</xdr:rowOff>
        </xdr:to>
        <xdr:sp macro="" textlink="">
          <xdr:nvSpPr>
            <xdr:cNvPr id="2060" name="Object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1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33</xdr:row>
          <xdr:rowOff>196850</xdr:rowOff>
        </xdr:from>
        <xdr:to>
          <xdr:col>19</xdr:col>
          <xdr:colOff>419100</xdr:colOff>
          <xdr:row>33</xdr:row>
          <xdr:rowOff>469900</xdr:rowOff>
        </xdr:to>
        <xdr:sp macro="" textlink="">
          <xdr:nvSpPr>
            <xdr:cNvPr id="2061" name="Object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34</xdr:row>
          <xdr:rowOff>0</xdr:rowOff>
        </xdr:from>
        <xdr:to>
          <xdr:col>19</xdr:col>
          <xdr:colOff>425450</xdr:colOff>
          <xdr:row>34</xdr:row>
          <xdr:rowOff>177800</xdr:rowOff>
        </xdr:to>
        <xdr:sp macro="" textlink="">
          <xdr:nvSpPr>
            <xdr:cNvPr id="2062" name="Object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36</xdr:row>
          <xdr:rowOff>133350</xdr:rowOff>
        </xdr:from>
        <xdr:to>
          <xdr:col>19</xdr:col>
          <xdr:colOff>450850</xdr:colOff>
          <xdr:row>36</xdr:row>
          <xdr:rowOff>355600</xdr:rowOff>
        </xdr:to>
        <xdr:sp macro="" textlink="">
          <xdr:nvSpPr>
            <xdr:cNvPr id="2063" name="Object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37</xdr:row>
          <xdr:rowOff>355600</xdr:rowOff>
        </xdr:from>
        <xdr:to>
          <xdr:col>19</xdr:col>
          <xdr:colOff>463550</xdr:colOff>
          <xdr:row>39</xdr:row>
          <xdr:rowOff>0</xdr:rowOff>
        </xdr:to>
        <xdr:sp macro="" textlink="">
          <xdr:nvSpPr>
            <xdr:cNvPr id="2064" name="Object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43</xdr:row>
          <xdr:rowOff>82550</xdr:rowOff>
        </xdr:from>
        <xdr:to>
          <xdr:col>19</xdr:col>
          <xdr:colOff>406400</xdr:colOff>
          <xdr:row>43</xdr:row>
          <xdr:rowOff>311150</xdr:rowOff>
        </xdr:to>
        <xdr:sp macro="" textlink="">
          <xdr:nvSpPr>
            <xdr:cNvPr id="2065" name="Object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1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47</xdr:row>
          <xdr:rowOff>158750</xdr:rowOff>
        </xdr:from>
        <xdr:to>
          <xdr:col>19</xdr:col>
          <xdr:colOff>482600</xdr:colOff>
          <xdr:row>47</xdr:row>
          <xdr:rowOff>431800</xdr:rowOff>
        </xdr:to>
        <xdr:sp macro="" textlink="">
          <xdr:nvSpPr>
            <xdr:cNvPr id="2066" name="Object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1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48</xdr:row>
          <xdr:rowOff>25400</xdr:rowOff>
        </xdr:from>
        <xdr:to>
          <xdr:col>19</xdr:col>
          <xdr:colOff>508000</xdr:colOff>
          <xdr:row>48</xdr:row>
          <xdr:rowOff>171450</xdr:rowOff>
        </xdr:to>
        <xdr:sp macro="" textlink="">
          <xdr:nvSpPr>
            <xdr:cNvPr id="2067" name="Object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1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51</xdr:row>
          <xdr:rowOff>273050</xdr:rowOff>
        </xdr:from>
        <xdr:to>
          <xdr:col>19</xdr:col>
          <xdr:colOff>463550</xdr:colOff>
          <xdr:row>51</xdr:row>
          <xdr:rowOff>514350</xdr:rowOff>
        </xdr:to>
        <xdr:sp macro="" textlink="">
          <xdr:nvSpPr>
            <xdr:cNvPr id="2068" name="Object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1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52</xdr:row>
          <xdr:rowOff>133350</xdr:rowOff>
        </xdr:from>
        <xdr:to>
          <xdr:col>19</xdr:col>
          <xdr:colOff>419100</xdr:colOff>
          <xdr:row>52</xdr:row>
          <xdr:rowOff>425450</xdr:rowOff>
        </xdr:to>
        <xdr:sp macro="" textlink="">
          <xdr:nvSpPr>
            <xdr:cNvPr id="2069" name="Object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53</xdr:row>
          <xdr:rowOff>57150</xdr:rowOff>
        </xdr:from>
        <xdr:to>
          <xdr:col>19</xdr:col>
          <xdr:colOff>381000</xdr:colOff>
          <xdr:row>53</xdr:row>
          <xdr:rowOff>298450</xdr:rowOff>
        </xdr:to>
        <xdr:sp macro="" textlink="">
          <xdr:nvSpPr>
            <xdr:cNvPr id="2070" name="Object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54</xdr:row>
          <xdr:rowOff>63500</xdr:rowOff>
        </xdr:from>
        <xdr:to>
          <xdr:col>19</xdr:col>
          <xdr:colOff>355600</xdr:colOff>
          <xdr:row>54</xdr:row>
          <xdr:rowOff>355600</xdr:rowOff>
        </xdr:to>
        <xdr:sp macro="" textlink="">
          <xdr:nvSpPr>
            <xdr:cNvPr id="2071" name="Object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55</xdr:row>
          <xdr:rowOff>228600</xdr:rowOff>
        </xdr:from>
        <xdr:to>
          <xdr:col>19</xdr:col>
          <xdr:colOff>425450</xdr:colOff>
          <xdr:row>55</xdr:row>
          <xdr:rowOff>482600</xdr:rowOff>
        </xdr:to>
        <xdr:sp macro="" textlink="">
          <xdr:nvSpPr>
            <xdr:cNvPr id="2072" name="Object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57</xdr:row>
          <xdr:rowOff>127000</xdr:rowOff>
        </xdr:from>
        <xdr:to>
          <xdr:col>19</xdr:col>
          <xdr:colOff>355600</xdr:colOff>
          <xdr:row>57</xdr:row>
          <xdr:rowOff>330200</xdr:rowOff>
        </xdr:to>
        <xdr:sp macro="" textlink="">
          <xdr:nvSpPr>
            <xdr:cNvPr id="2073" name="Object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1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59</xdr:row>
          <xdr:rowOff>6350</xdr:rowOff>
        </xdr:from>
        <xdr:to>
          <xdr:col>19</xdr:col>
          <xdr:colOff>374650</xdr:colOff>
          <xdr:row>60</xdr:row>
          <xdr:rowOff>12700</xdr:rowOff>
        </xdr:to>
        <xdr:sp macro="" textlink="">
          <xdr:nvSpPr>
            <xdr:cNvPr id="2074" name="Object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1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190500</xdr:colOff>
          <xdr:row>61</xdr:row>
          <xdr:rowOff>495300</xdr:rowOff>
        </xdr:from>
        <xdr:to>
          <xdr:col>19</xdr:col>
          <xdr:colOff>336550</xdr:colOff>
          <xdr:row>61</xdr:row>
          <xdr:rowOff>711200</xdr:rowOff>
        </xdr:to>
        <xdr:sp macro="" textlink="">
          <xdr:nvSpPr>
            <xdr:cNvPr id="2075" name="Object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1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31750</xdr:colOff>
          <xdr:row>62</xdr:row>
          <xdr:rowOff>88900</xdr:rowOff>
        </xdr:from>
        <xdr:to>
          <xdr:col>19</xdr:col>
          <xdr:colOff>387350</xdr:colOff>
          <xdr:row>62</xdr:row>
          <xdr:rowOff>330200</xdr:rowOff>
        </xdr:to>
        <xdr:sp macro="" textlink="">
          <xdr:nvSpPr>
            <xdr:cNvPr id="2076" name="Object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1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66</xdr:row>
          <xdr:rowOff>139700</xdr:rowOff>
        </xdr:from>
        <xdr:to>
          <xdr:col>19</xdr:col>
          <xdr:colOff>387350</xdr:colOff>
          <xdr:row>66</xdr:row>
          <xdr:rowOff>381000</xdr:rowOff>
        </xdr:to>
        <xdr:sp macro="" textlink="">
          <xdr:nvSpPr>
            <xdr:cNvPr id="2077" name="Object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1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67</xdr:row>
          <xdr:rowOff>323850</xdr:rowOff>
        </xdr:from>
        <xdr:to>
          <xdr:col>19</xdr:col>
          <xdr:colOff>374650</xdr:colOff>
          <xdr:row>67</xdr:row>
          <xdr:rowOff>584200</xdr:rowOff>
        </xdr:to>
        <xdr:sp macro="" textlink="">
          <xdr:nvSpPr>
            <xdr:cNvPr id="2078" name="Object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1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68</xdr:row>
          <xdr:rowOff>146050</xdr:rowOff>
        </xdr:from>
        <xdr:to>
          <xdr:col>19</xdr:col>
          <xdr:colOff>374650</xdr:colOff>
          <xdr:row>68</xdr:row>
          <xdr:rowOff>425450</xdr:rowOff>
        </xdr:to>
        <xdr:sp macro="" textlink="">
          <xdr:nvSpPr>
            <xdr:cNvPr id="2079" name="Object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1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69</xdr:row>
          <xdr:rowOff>50800</xdr:rowOff>
        </xdr:from>
        <xdr:to>
          <xdr:col>19</xdr:col>
          <xdr:colOff>355600</xdr:colOff>
          <xdr:row>69</xdr:row>
          <xdr:rowOff>266700</xdr:rowOff>
        </xdr:to>
        <xdr:sp macro="" textlink="">
          <xdr:nvSpPr>
            <xdr:cNvPr id="2080" name="Object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1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</xdr:colOff>
          <xdr:row>78</xdr:row>
          <xdr:rowOff>12700</xdr:rowOff>
        </xdr:from>
        <xdr:to>
          <xdr:col>19</xdr:col>
          <xdr:colOff>406400</xdr:colOff>
          <xdr:row>78</xdr:row>
          <xdr:rowOff>177800</xdr:rowOff>
        </xdr:to>
        <xdr:sp macro="" textlink="">
          <xdr:nvSpPr>
            <xdr:cNvPr id="2081" name="Object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71</xdr:row>
          <xdr:rowOff>101600</xdr:rowOff>
        </xdr:from>
        <xdr:to>
          <xdr:col>19</xdr:col>
          <xdr:colOff>387350</xdr:colOff>
          <xdr:row>71</xdr:row>
          <xdr:rowOff>311150</xdr:rowOff>
        </xdr:to>
        <xdr:sp macro="" textlink="">
          <xdr:nvSpPr>
            <xdr:cNvPr id="2082" name="Object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79</xdr:row>
          <xdr:rowOff>146050</xdr:rowOff>
        </xdr:from>
        <xdr:to>
          <xdr:col>19</xdr:col>
          <xdr:colOff>406400</xdr:colOff>
          <xdr:row>79</xdr:row>
          <xdr:rowOff>438150</xdr:rowOff>
        </xdr:to>
        <xdr:sp macro="" textlink="">
          <xdr:nvSpPr>
            <xdr:cNvPr id="2083" name="Object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80</xdr:row>
          <xdr:rowOff>311150</xdr:rowOff>
        </xdr:from>
        <xdr:to>
          <xdr:col>19</xdr:col>
          <xdr:colOff>336550</xdr:colOff>
          <xdr:row>81</xdr:row>
          <xdr:rowOff>76200</xdr:rowOff>
        </xdr:to>
        <xdr:sp macro="" textlink="">
          <xdr:nvSpPr>
            <xdr:cNvPr id="2084" name="Object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6350</xdr:colOff>
          <xdr:row>83</xdr:row>
          <xdr:rowOff>57150</xdr:rowOff>
        </xdr:from>
        <xdr:to>
          <xdr:col>19</xdr:col>
          <xdr:colOff>381000</xdr:colOff>
          <xdr:row>83</xdr:row>
          <xdr:rowOff>311150</xdr:rowOff>
        </xdr:to>
        <xdr:sp macro="" textlink="">
          <xdr:nvSpPr>
            <xdr:cNvPr id="2085" name="Object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84</xdr:row>
          <xdr:rowOff>19050</xdr:rowOff>
        </xdr:from>
        <xdr:to>
          <xdr:col>19</xdr:col>
          <xdr:colOff>406400</xdr:colOff>
          <xdr:row>85</xdr:row>
          <xdr:rowOff>0</xdr:rowOff>
        </xdr:to>
        <xdr:sp macro="" textlink="">
          <xdr:nvSpPr>
            <xdr:cNvPr id="2086" name="Object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89</xdr:row>
          <xdr:rowOff>209550</xdr:rowOff>
        </xdr:from>
        <xdr:to>
          <xdr:col>19</xdr:col>
          <xdr:colOff>336550</xdr:colOff>
          <xdr:row>89</xdr:row>
          <xdr:rowOff>438150</xdr:rowOff>
        </xdr:to>
        <xdr:sp macro="" textlink="">
          <xdr:nvSpPr>
            <xdr:cNvPr id="2088" name="Object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92</xdr:row>
          <xdr:rowOff>152400</xdr:rowOff>
        </xdr:from>
        <xdr:to>
          <xdr:col>19</xdr:col>
          <xdr:colOff>355600</xdr:colOff>
          <xdr:row>92</xdr:row>
          <xdr:rowOff>323850</xdr:rowOff>
        </xdr:to>
        <xdr:sp macro="" textlink="">
          <xdr:nvSpPr>
            <xdr:cNvPr id="2089" name="Object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93</xdr:row>
          <xdr:rowOff>12700</xdr:rowOff>
        </xdr:from>
        <xdr:to>
          <xdr:col>19</xdr:col>
          <xdr:colOff>431800</xdr:colOff>
          <xdr:row>93</xdr:row>
          <xdr:rowOff>304800</xdr:rowOff>
        </xdr:to>
        <xdr:sp macro="" textlink="">
          <xdr:nvSpPr>
            <xdr:cNvPr id="2090" name="Object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95</xdr:row>
          <xdr:rowOff>44450</xdr:rowOff>
        </xdr:from>
        <xdr:to>
          <xdr:col>19</xdr:col>
          <xdr:colOff>406400</xdr:colOff>
          <xdr:row>95</xdr:row>
          <xdr:rowOff>152400</xdr:rowOff>
        </xdr:to>
        <xdr:sp macro="" textlink="">
          <xdr:nvSpPr>
            <xdr:cNvPr id="2091" name="Object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361950</xdr:colOff>
          <xdr:row>97</xdr:row>
          <xdr:rowOff>184150</xdr:rowOff>
        </xdr:from>
        <xdr:to>
          <xdr:col>20</xdr:col>
          <xdr:colOff>0</xdr:colOff>
          <xdr:row>97</xdr:row>
          <xdr:rowOff>387350</xdr:rowOff>
        </xdr:to>
        <xdr:sp macro="" textlink="">
          <xdr:nvSpPr>
            <xdr:cNvPr id="2092" name="Object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184150</xdr:colOff>
          <xdr:row>98</xdr:row>
          <xdr:rowOff>12700</xdr:rowOff>
        </xdr:from>
        <xdr:to>
          <xdr:col>19</xdr:col>
          <xdr:colOff>355600</xdr:colOff>
          <xdr:row>99</xdr:row>
          <xdr:rowOff>6350</xdr:rowOff>
        </xdr:to>
        <xdr:sp macro="" textlink="">
          <xdr:nvSpPr>
            <xdr:cNvPr id="2094" name="Object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196850</xdr:colOff>
          <xdr:row>100</xdr:row>
          <xdr:rowOff>12700</xdr:rowOff>
        </xdr:from>
        <xdr:to>
          <xdr:col>19</xdr:col>
          <xdr:colOff>387350</xdr:colOff>
          <xdr:row>100</xdr:row>
          <xdr:rowOff>177800</xdr:rowOff>
        </xdr:to>
        <xdr:sp macro="" textlink="">
          <xdr:nvSpPr>
            <xdr:cNvPr id="2095" name="Object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25400</xdr:colOff>
          <xdr:row>104</xdr:row>
          <xdr:rowOff>133350</xdr:rowOff>
        </xdr:from>
        <xdr:to>
          <xdr:col>19</xdr:col>
          <xdr:colOff>374650</xdr:colOff>
          <xdr:row>104</xdr:row>
          <xdr:rowOff>298450</xdr:rowOff>
        </xdr:to>
        <xdr:sp macro="" textlink="">
          <xdr:nvSpPr>
            <xdr:cNvPr id="2096" name="Object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50800</xdr:colOff>
          <xdr:row>25</xdr:row>
          <xdr:rowOff>69850</xdr:rowOff>
        </xdr:from>
        <xdr:to>
          <xdr:col>19</xdr:col>
          <xdr:colOff>336550</xdr:colOff>
          <xdr:row>25</xdr:row>
          <xdr:rowOff>298450</xdr:rowOff>
        </xdr:to>
        <xdr:sp macro="" textlink="">
          <xdr:nvSpPr>
            <xdr:cNvPr id="2097" name="Object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1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26</xdr:row>
          <xdr:rowOff>82550</xdr:rowOff>
        </xdr:from>
        <xdr:to>
          <xdr:col>19</xdr:col>
          <xdr:colOff>355600</xdr:colOff>
          <xdr:row>26</xdr:row>
          <xdr:rowOff>311150</xdr:rowOff>
        </xdr:to>
        <xdr:sp macro="" textlink="">
          <xdr:nvSpPr>
            <xdr:cNvPr id="2098" name="Object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1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38100</xdr:colOff>
          <xdr:row>64</xdr:row>
          <xdr:rowOff>69850</xdr:rowOff>
        </xdr:from>
        <xdr:to>
          <xdr:col>19</xdr:col>
          <xdr:colOff>374650</xdr:colOff>
          <xdr:row>64</xdr:row>
          <xdr:rowOff>298450</xdr:rowOff>
        </xdr:to>
        <xdr:sp macro="" textlink="">
          <xdr:nvSpPr>
            <xdr:cNvPr id="2099" name="Object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1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</xdr:colOff>
          <xdr:row>70</xdr:row>
          <xdr:rowOff>25400</xdr:rowOff>
        </xdr:from>
        <xdr:to>
          <xdr:col>19</xdr:col>
          <xdr:colOff>323850</xdr:colOff>
          <xdr:row>70</xdr:row>
          <xdr:rowOff>171450</xdr:rowOff>
        </xdr:to>
        <xdr:sp macro="" textlink="">
          <xdr:nvSpPr>
            <xdr:cNvPr id="2100" name="Object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1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165100</xdr:colOff>
          <xdr:row>97</xdr:row>
          <xdr:rowOff>184150</xdr:rowOff>
        </xdr:from>
        <xdr:to>
          <xdr:col>19</xdr:col>
          <xdr:colOff>196850</xdr:colOff>
          <xdr:row>97</xdr:row>
          <xdr:rowOff>387350</xdr:rowOff>
        </xdr:to>
        <xdr:sp macro="" textlink="">
          <xdr:nvSpPr>
            <xdr:cNvPr id="2101" name="Object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107</xdr:row>
          <xdr:rowOff>400050</xdr:rowOff>
        </xdr:from>
        <xdr:to>
          <xdr:col>19</xdr:col>
          <xdr:colOff>336550</xdr:colOff>
          <xdr:row>107</xdr:row>
          <xdr:rowOff>609600</xdr:rowOff>
        </xdr:to>
        <xdr:sp macro="" textlink="">
          <xdr:nvSpPr>
            <xdr:cNvPr id="2103" name="Object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108</xdr:row>
          <xdr:rowOff>88900</xdr:rowOff>
        </xdr:from>
        <xdr:to>
          <xdr:col>19</xdr:col>
          <xdr:colOff>336550</xdr:colOff>
          <xdr:row>108</xdr:row>
          <xdr:rowOff>330200</xdr:rowOff>
        </xdr:to>
        <xdr:sp macro="" textlink="">
          <xdr:nvSpPr>
            <xdr:cNvPr id="2104" name="Object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109</xdr:row>
          <xdr:rowOff>95250</xdr:rowOff>
        </xdr:from>
        <xdr:to>
          <xdr:col>19</xdr:col>
          <xdr:colOff>374650</xdr:colOff>
          <xdr:row>109</xdr:row>
          <xdr:rowOff>336550</xdr:rowOff>
        </xdr:to>
        <xdr:sp macro="" textlink="">
          <xdr:nvSpPr>
            <xdr:cNvPr id="2105" name="Object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1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82550</xdr:colOff>
          <xdr:row>110</xdr:row>
          <xdr:rowOff>0</xdr:rowOff>
        </xdr:from>
        <xdr:to>
          <xdr:col>19</xdr:col>
          <xdr:colOff>355600</xdr:colOff>
          <xdr:row>110</xdr:row>
          <xdr:rowOff>177800</xdr:rowOff>
        </xdr:to>
        <xdr:sp macro="" textlink="">
          <xdr:nvSpPr>
            <xdr:cNvPr id="2106" name="Object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1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114</xdr:row>
          <xdr:rowOff>234950</xdr:rowOff>
        </xdr:from>
        <xdr:to>
          <xdr:col>19</xdr:col>
          <xdr:colOff>463550</xdr:colOff>
          <xdr:row>115</xdr:row>
          <xdr:rowOff>158750</xdr:rowOff>
        </xdr:to>
        <xdr:sp macro="" textlink="">
          <xdr:nvSpPr>
            <xdr:cNvPr id="2107" name="Object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1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88900</xdr:colOff>
          <xdr:row>111</xdr:row>
          <xdr:rowOff>241300</xdr:rowOff>
        </xdr:from>
        <xdr:to>
          <xdr:col>19</xdr:col>
          <xdr:colOff>406400</xdr:colOff>
          <xdr:row>112</xdr:row>
          <xdr:rowOff>101600</xdr:rowOff>
        </xdr:to>
        <xdr:sp macro="" textlink="">
          <xdr:nvSpPr>
            <xdr:cNvPr id="2108" name="Object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1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113</xdr:row>
          <xdr:rowOff>50800</xdr:rowOff>
        </xdr:from>
        <xdr:to>
          <xdr:col>19</xdr:col>
          <xdr:colOff>450850</xdr:colOff>
          <xdr:row>113</xdr:row>
          <xdr:rowOff>304800</xdr:rowOff>
        </xdr:to>
        <xdr:sp macro="" textlink="">
          <xdr:nvSpPr>
            <xdr:cNvPr id="2109" name="Object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190500</xdr:colOff>
          <xdr:row>119</xdr:row>
          <xdr:rowOff>6350</xdr:rowOff>
        </xdr:from>
        <xdr:to>
          <xdr:col>19</xdr:col>
          <xdr:colOff>425450</xdr:colOff>
          <xdr:row>120</xdr:row>
          <xdr:rowOff>0</xdr:rowOff>
        </xdr:to>
        <xdr:sp macro="" textlink="">
          <xdr:nvSpPr>
            <xdr:cNvPr id="2110" name="Object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116</xdr:row>
          <xdr:rowOff>76200</xdr:rowOff>
        </xdr:from>
        <xdr:to>
          <xdr:col>19</xdr:col>
          <xdr:colOff>450850</xdr:colOff>
          <xdr:row>116</xdr:row>
          <xdr:rowOff>285750</xdr:rowOff>
        </xdr:to>
        <xdr:sp macro="" textlink="">
          <xdr:nvSpPr>
            <xdr:cNvPr id="2111" name="Object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117</xdr:row>
          <xdr:rowOff>114300</xdr:rowOff>
        </xdr:from>
        <xdr:to>
          <xdr:col>19</xdr:col>
          <xdr:colOff>450850</xdr:colOff>
          <xdr:row>118</xdr:row>
          <xdr:rowOff>152400</xdr:rowOff>
        </xdr:to>
        <xdr:sp macro="" textlink="">
          <xdr:nvSpPr>
            <xdr:cNvPr id="2112" name="Object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121</xdr:row>
          <xdr:rowOff>19050</xdr:rowOff>
        </xdr:from>
        <xdr:to>
          <xdr:col>19</xdr:col>
          <xdr:colOff>425450</xdr:colOff>
          <xdr:row>122</xdr:row>
          <xdr:rowOff>0</xdr:rowOff>
        </xdr:to>
        <xdr:sp macro="" textlink="">
          <xdr:nvSpPr>
            <xdr:cNvPr id="2113" name="Object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1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120</xdr:row>
          <xdr:rowOff>88900</xdr:rowOff>
        </xdr:from>
        <xdr:to>
          <xdr:col>19</xdr:col>
          <xdr:colOff>425450</xdr:colOff>
          <xdr:row>120</xdr:row>
          <xdr:rowOff>330200</xdr:rowOff>
        </xdr:to>
        <xdr:sp macro="" textlink="">
          <xdr:nvSpPr>
            <xdr:cNvPr id="2114" name="Object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1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203200</xdr:colOff>
          <xdr:row>124</xdr:row>
          <xdr:rowOff>95250</xdr:rowOff>
        </xdr:from>
        <xdr:to>
          <xdr:col>19</xdr:col>
          <xdr:colOff>450850</xdr:colOff>
          <xdr:row>124</xdr:row>
          <xdr:rowOff>298450</xdr:rowOff>
        </xdr:to>
        <xdr:sp macro="" textlink="">
          <xdr:nvSpPr>
            <xdr:cNvPr id="2115" name="Object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1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128</xdr:row>
          <xdr:rowOff>88900</xdr:rowOff>
        </xdr:from>
        <xdr:to>
          <xdr:col>19</xdr:col>
          <xdr:colOff>425450</xdr:colOff>
          <xdr:row>128</xdr:row>
          <xdr:rowOff>292100</xdr:rowOff>
        </xdr:to>
        <xdr:sp macro="" textlink="">
          <xdr:nvSpPr>
            <xdr:cNvPr id="2116" name="Object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1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129</xdr:row>
          <xdr:rowOff>438150</xdr:rowOff>
        </xdr:from>
        <xdr:to>
          <xdr:col>19</xdr:col>
          <xdr:colOff>419100</xdr:colOff>
          <xdr:row>130</xdr:row>
          <xdr:rowOff>101600</xdr:rowOff>
        </xdr:to>
        <xdr:sp macro="" textlink="">
          <xdr:nvSpPr>
            <xdr:cNvPr id="2117" name="Object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1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131</xdr:row>
          <xdr:rowOff>101600</xdr:rowOff>
        </xdr:from>
        <xdr:to>
          <xdr:col>19</xdr:col>
          <xdr:colOff>419100</xdr:colOff>
          <xdr:row>131</xdr:row>
          <xdr:rowOff>260350</xdr:rowOff>
        </xdr:to>
        <xdr:sp macro="" textlink="">
          <xdr:nvSpPr>
            <xdr:cNvPr id="2118" name="Object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1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0</xdr:colOff>
          <xdr:row>28</xdr:row>
          <xdr:rowOff>146050</xdr:rowOff>
        </xdr:from>
        <xdr:to>
          <xdr:col>19</xdr:col>
          <xdr:colOff>419100</xdr:colOff>
          <xdr:row>28</xdr:row>
          <xdr:rowOff>476250</xdr:rowOff>
        </xdr:to>
        <xdr:sp macro="" textlink="">
          <xdr:nvSpPr>
            <xdr:cNvPr id="2119" name="Object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1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132</xdr:row>
          <xdr:rowOff>209550</xdr:rowOff>
        </xdr:from>
        <xdr:to>
          <xdr:col>19</xdr:col>
          <xdr:colOff>387350</xdr:colOff>
          <xdr:row>132</xdr:row>
          <xdr:rowOff>374650</xdr:rowOff>
        </xdr:to>
        <xdr:sp macro="" textlink="">
          <xdr:nvSpPr>
            <xdr:cNvPr id="2120" name="Object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1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44450</xdr:colOff>
          <xdr:row>135</xdr:row>
          <xdr:rowOff>247650</xdr:rowOff>
        </xdr:from>
        <xdr:to>
          <xdr:col>19</xdr:col>
          <xdr:colOff>292100</xdr:colOff>
          <xdr:row>135</xdr:row>
          <xdr:rowOff>412750</xdr:rowOff>
        </xdr:to>
        <xdr:sp macro="" textlink="">
          <xdr:nvSpPr>
            <xdr:cNvPr id="2121" name="Object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1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393700</xdr:colOff>
          <xdr:row>135</xdr:row>
          <xdr:rowOff>247650</xdr:rowOff>
        </xdr:from>
        <xdr:to>
          <xdr:col>20</xdr:col>
          <xdr:colOff>12700</xdr:colOff>
          <xdr:row>135</xdr:row>
          <xdr:rowOff>419100</xdr:rowOff>
        </xdr:to>
        <xdr:sp macro="" textlink="">
          <xdr:nvSpPr>
            <xdr:cNvPr id="2122" name="Object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1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137</xdr:row>
          <xdr:rowOff>387350</xdr:rowOff>
        </xdr:from>
        <xdr:to>
          <xdr:col>19</xdr:col>
          <xdr:colOff>450850</xdr:colOff>
          <xdr:row>137</xdr:row>
          <xdr:rowOff>609600</xdr:rowOff>
        </xdr:to>
        <xdr:sp macro="" textlink="">
          <xdr:nvSpPr>
            <xdr:cNvPr id="2123" name="Object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138</xdr:row>
          <xdr:rowOff>165100</xdr:rowOff>
        </xdr:from>
        <xdr:to>
          <xdr:col>19</xdr:col>
          <xdr:colOff>450850</xdr:colOff>
          <xdr:row>139</xdr:row>
          <xdr:rowOff>6350</xdr:rowOff>
        </xdr:to>
        <xdr:sp macro="" textlink="">
          <xdr:nvSpPr>
            <xdr:cNvPr id="2124" name="Object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139</xdr:row>
          <xdr:rowOff>69850</xdr:rowOff>
        </xdr:from>
        <xdr:to>
          <xdr:col>19</xdr:col>
          <xdr:colOff>406400</xdr:colOff>
          <xdr:row>139</xdr:row>
          <xdr:rowOff>279400</xdr:rowOff>
        </xdr:to>
        <xdr:sp macro="" textlink="">
          <xdr:nvSpPr>
            <xdr:cNvPr id="2125" name="Object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142</xdr:row>
          <xdr:rowOff>12700</xdr:rowOff>
        </xdr:from>
        <xdr:to>
          <xdr:col>19</xdr:col>
          <xdr:colOff>450850</xdr:colOff>
          <xdr:row>143</xdr:row>
          <xdr:rowOff>50800</xdr:rowOff>
        </xdr:to>
        <xdr:sp macro="" textlink="">
          <xdr:nvSpPr>
            <xdr:cNvPr id="2126" name="Object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145</xdr:row>
          <xdr:rowOff>127000</xdr:rowOff>
        </xdr:from>
        <xdr:to>
          <xdr:col>19</xdr:col>
          <xdr:colOff>450850</xdr:colOff>
          <xdr:row>146</xdr:row>
          <xdr:rowOff>171450</xdr:rowOff>
        </xdr:to>
        <xdr:sp macro="" textlink="">
          <xdr:nvSpPr>
            <xdr:cNvPr id="2127" name="Object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147</xdr:row>
          <xdr:rowOff>171450</xdr:rowOff>
        </xdr:from>
        <xdr:to>
          <xdr:col>19</xdr:col>
          <xdr:colOff>457200</xdr:colOff>
          <xdr:row>147</xdr:row>
          <xdr:rowOff>412750</xdr:rowOff>
        </xdr:to>
        <xdr:sp macro="" textlink="">
          <xdr:nvSpPr>
            <xdr:cNvPr id="2128" name="Object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151</xdr:row>
          <xdr:rowOff>88900</xdr:rowOff>
        </xdr:from>
        <xdr:to>
          <xdr:col>19</xdr:col>
          <xdr:colOff>450850</xdr:colOff>
          <xdr:row>151</xdr:row>
          <xdr:rowOff>298450</xdr:rowOff>
        </xdr:to>
        <xdr:sp macro="" textlink="">
          <xdr:nvSpPr>
            <xdr:cNvPr id="2129" name="Object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152</xdr:row>
          <xdr:rowOff>552450</xdr:rowOff>
        </xdr:from>
        <xdr:to>
          <xdr:col>19</xdr:col>
          <xdr:colOff>450850</xdr:colOff>
          <xdr:row>152</xdr:row>
          <xdr:rowOff>762000</xdr:rowOff>
        </xdr:to>
        <xdr:sp macro="" textlink="">
          <xdr:nvSpPr>
            <xdr:cNvPr id="2130" name="Object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153</xdr:row>
          <xdr:rowOff>171450</xdr:rowOff>
        </xdr:from>
        <xdr:to>
          <xdr:col>19</xdr:col>
          <xdr:colOff>431800</xdr:colOff>
          <xdr:row>153</xdr:row>
          <xdr:rowOff>381000</xdr:rowOff>
        </xdr:to>
        <xdr:sp macro="" textlink="">
          <xdr:nvSpPr>
            <xdr:cNvPr id="2131" name="Object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157</xdr:row>
          <xdr:rowOff>762000</xdr:rowOff>
        </xdr:from>
        <xdr:to>
          <xdr:col>19</xdr:col>
          <xdr:colOff>438150</xdr:colOff>
          <xdr:row>158</xdr:row>
          <xdr:rowOff>133350</xdr:rowOff>
        </xdr:to>
        <xdr:sp macro="" textlink="">
          <xdr:nvSpPr>
            <xdr:cNvPr id="2132" name="Object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156</xdr:row>
          <xdr:rowOff>6350</xdr:rowOff>
        </xdr:from>
        <xdr:to>
          <xdr:col>19</xdr:col>
          <xdr:colOff>450850</xdr:colOff>
          <xdr:row>157</xdr:row>
          <xdr:rowOff>12700</xdr:rowOff>
        </xdr:to>
        <xdr:sp macro="" textlink="">
          <xdr:nvSpPr>
            <xdr:cNvPr id="2133" name="Object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159</xdr:row>
          <xdr:rowOff>88900</xdr:rowOff>
        </xdr:from>
        <xdr:to>
          <xdr:col>19</xdr:col>
          <xdr:colOff>450850</xdr:colOff>
          <xdr:row>159</xdr:row>
          <xdr:rowOff>298450</xdr:rowOff>
        </xdr:to>
        <xdr:sp macro="" textlink="">
          <xdr:nvSpPr>
            <xdr:cNvPr id="2134" name="Object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148</xdr:row>
          <xdr:rowOff>171450</xdr:rowOff>
        </xdr:from>
        <xdr:to>
          <xdr:col>19</xdr:col>
          <xdr:colOff>450850</xdr:colOff>
          <xdr:row>148</xdr:row>
          <xdr:rowOff>412750</xdr:rowOff>
        </xdr:to>
        <xdr:sp macro="" textlink="">
          <xdr:nvSpPr>
            <xdr:cNvPr id="2135" name="Object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149</xdr:row>
          <xdr:rowOff>228600</xdr:rowOff>
        </xdr:from>
        <xdr:to>
          <xdr:col>19</xdr:col>
          <xdr:colOff>450850</xdr:colOff>
          <xdr:row>150</xdr:row>
          <xdr:rowOff>139700</xdr:rowOff>
        </xdr:to>
        <xdr:sp macro="" textlink="">
          <xdr:nvSpPr>
            <xdr:cNvPr id="2136" name="Object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154</xdr:row>
          <xdr:rowOff>107950</xdr:rowOff>
        </xdr:from>
        <xdr:to>
          <xdr:col>19</xdr:col>
          <xdr:colOff>450850</xdr:colOff>
          <xdr:row>155</xdr:row>
          <xdr:rowOff>114300</xdr:rowOff>
        </xdr:to>
        <xdr:sp macro="" textlink="">
          <xdr:nvSpPr>
            <xdr:cNvPr id="2137" name="Object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160</xdr:row>
          <xdr:rowOff>95250</xdr:rowOff>
        </xdr:from>
        <xdr:to>
          <xdr:col>19</xdr:col>
          <xdr:colOff>450850</xdr:colOff>
          <xdr:row>160</xdr:row>
          <xdr:rowOff>304800</xdr:rowOff>
        </xdr:to>
        <xdr:sp macro="" textlink="">
          <xdr:nvSpPr>
            <xdr:cNvPr id="2138" name="Object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161</xdr:row>
          <xdr:rowOff>215900</xdr:rowOff>
        </xdr:from>
        <xdr:to>
          <xdr:col>19</xdr:col>
          <xdr:colOff>482600</xdr:colOff>
          <xdr:row>162</xdr:row>
          <xdr:rowOff>95250</xdr:rowOff>
        </xdr:to>
        <xdr:sp macro="" textlink="">
          <xdr:nvSpPr>
            <xdr:cNvPr id="2139" name="Object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163</xdr:row>
          <xdr:rowOff>165100</xdr:rowOff>
        </xdr:from>
        <xdr:to>
          <xdr:col>19</xdr:col>
          <xdr:colOff>476250</xdr:colOff>
          <xdr:row>164</xdr:row>
          <xdr:rowOff>6350</xdr:rowOff>
        </xdr:to>
        <xdr:sp macro="" textlink="">
          <xdr:nvSpPr>
            <xdr:cNvPr id="2140" name="Object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164</xdr:row>
          <xdr:rowOff>50800</xdr:rowOff>
        </xdr:from>
        <xdr:to>
          <xdr:col>19</xdr:col>
          <xdr:colOff>463550</xdr:colOff>
          <xdr:row>164</xdr:row>
          <xdr:rowOff>304800</xdr:rowOff>
        </xdr:to>
        <xdr:sp macro="" textlink="">
          <xdr:nvSpPr>
            <xdr:cNvPr id="2141" name="Object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165</xdr:row>
          <xdr:rowOff>57150</xdr:rowOff>
        </xdr:from>
        <xdr:to>
          <xdr:col>19</xdr:col>
          <xdr:colOff>476250</xdr:colOff>
          <xdr:row>165</xdr:row>
          <xdr:rowOff>336550</xdr:rowOff>
        </xdr:to>
        <xdr:sp macro="" textlink="">
          <xdr:nvSpPr>
            <xdr:cNvPr id="2142" name="Object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166</xdr:row>
          <xdr:rowOff>203200</xdr:rowOff>
        </xdr:from>
        <xdr:to>
          <xdr:col>19</xdr:col>
          <xdr:colOff>476250</xdr:colOff>
          <xdr:row>167</xdr:row>
          <xdr:rowOff>88900</xdr:rowOff>
        </xdr:to>
        <xdr:sp macro="" textlink="">
          <xdr:nvSpPr>
            <xdr:cNvPr id="2143" name="Object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169</xdr:row>
          <xdr:rowOff>69850</xdr:rowOff>
        </xdr:from>
        <xdr:to>
          <xdr:col>19</xdr:col>
          <xdr:colOff>431800</xdr:colOff>
          <xdr:row>169</xdr:row>
          <xdr:rowOff>260350</xdr:rowOff>
        </xdr:to>
        <xdr:sp macro="" textlink="">
          <xdr:nvSpPr>
            <xdr:cNvPr id="2144" name="Object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171</xdr:row>
          <xdr:rowOff>76200</xdr:rowOff>
        </xdr:from>
        <xdr:to>
          <xdr:col>19</xdr:col>
          <xdr:colOff>419100</xdr:colOff>
          <xdr:row>171</xdr:row>
          <xdr:rowOff>254000</xdr:rowOff>
        </xdr:to>
        <xdr:sp macro="" textlink="">
          <xdr:nvSpPr>
            <xdr:cNvPr id="2145" name="Object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172</xdr:row>
          <xdr:rowOff>69850</xdr:rowOff>
        </xdr:from>
        <xdr:to>
          <xdr:col>19</xdr:col>
          <xdr:colOff>438150</xdr:colOff>
          <xdr:row>172</xdr:row>
          <xdr:rowOff>279400</xdr:rowOff>
        </xdr:to>
        <xdr:sp macro="" textlink="">
          <xdr:nvSpPr>
            <xdr:cNvPr id="2146" name="Object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173</xdr:row>
          <xdr:rowOff>2241550</xdr:rowOff>
        </xdr:from>
        <xdr:to>
          <xdr:col>19</xdr:col>
          <xdr:colOff>419100</xdr:colOff>
          <xdr:row>173</xdr:row>
          <xdr:rowOff>2444750</xdr:rowOff>
        </xdr:to>
        <xdr:sp macro="" textlink="">
          <xdr:nvSpPr>
            <xdr:cNvPr id="2147" name="Object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168</xdr:row>
          <xdr:rowOff>69850</xdr:rowOff>
        </xdr:from>
        <xdr:to>
          <xdr:col>19</xdr:col>
          <xdr:colOff>431800</xdr:colOff>
          <xdr:row>168</xdr:row>
          <xdr:rowOff>298450</xdr:rowOff>
        </xdr:to>
        <xdr:sp macro="" textlink="">
          <xdr:nvSpPr>
            <xdr:cNvPr id="2148" name="Object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176</xdr:row>
          <xdr:rowOff>101600</xdr:rowOff>
        </xdr:from>
        <xdr:to>
          <xdr:col>19</xdr:col>
          <xdr:colOff>457200</xdr:colOff>
          <xdr:row>176</xdr:row>
          <xdr:rowOff>336550</xdr:rowOff>
        </xdr:to>
        <xdr:sp macro="" textlink="">
          <xdr:nvSpPr>
            <xdr:cNvPr id="2150" name="Object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174</xdr:row>
          <xdr:rowOff>114300</xdr:rowOff>
        </xdr:from>
        <xdr:to>
          <xdr:col>19</xdr:col>
          <xdr:colOff>431800</xdr:colOff>
          <xdr:row>175</xdr:row>
          <xdr:rowOff>152400</xdr:rowOff>
        </xdr:to>
        <xdr:sp macro="" textlink="">
          <xdr:nvSpPr>
            <xdr:cNvPr id="2151" name="Object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177</xdr:row>
          <xdr:rowOff>768350</xdr:rowOff>
        </xdr:from>
        <xdr:to>
          <xdr:col>19</xdr:col>
          <xdr:colOff>438150</xdr:colOff>
          <xdr:row>178</xdr:row>
          <xdr:rowOff>139700</xdr:rowOff>
        </xdr:to>
        <xdr:sp macro="" textlink="">
          <xdr:nvSpPr>
            <xdr:cNvPr id="2152" name="Object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179</xdr:row>
          <xdr:rowOff>76200</xdr:rowOff>
        </xdr:from>
        <xdr:to>
          <xdr:col>19</xdr:col>
          <xdr:colOff>463550</xdr:colOff>
          <xdr:row>179</xdr:row>
          <xdr:rowOff>330200</xdr:rowOff>
        </xdr:to>
        <xdr:sp macro="" textlink="">
          <xdr:nvSpPr>
            <xdr:cNvPr id="2153" name="Object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1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180</xdr:row>
          <xdr:rowOff>260350</xdr:rowOff>
        </xdr:from>
        <xdr:to>
          <xdr:col>19</xdr:col>
          <xdr:colOff>501650</xdr:colOff>
          <xdr:row>181</xdr:row>
          <xdr:rowOff>177800</xdr:rowOff>
        </xdr:to>
        <xdr:sp macro="" textlink="">
          <xdr:nvSpPr>
            <xdr:cNvPr id="2154" name="Object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1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182</xdr:row>
          <xdr:rowOff>209550</xdr:rowOff>
        </xdr:from>
        <xdr:to>
          <xdr:col>19</xdr:col>
          <xdr:colOff>501650</xdr:colOff>
          <xdr:row>183</xdr:row>
          <xdr:rowOff>101600</xdr:rowOff>
        </xdr:to>
        <xdr:sp macro="" textlink="">
          <xdr:nvSpPr>
            <xdr:cNvPr id="2155" name="Object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1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184</xdr:row>
          <xdr:rowOff>254000</xdr:rowOff>
        </xdr:from>
        <xdr:to>
          <xdr:col>19</xdr:col>
          <xdr:colOff>450850</xdr:colOff>
          <xdr:row>185</xdr:row>
          <xdr:rowOff>127000</xdr:rowOff>
        </xdr:to>
        <xdr:sp macro="" textlink="">
          <xdr:nvSpPr>
            <xdr:cNvPr id="2156" name="Object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1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93</xdr:row>
          <xdr:rowOff>342900</xdr:rowOff>
        </xdr:from>
        <xdr:to>
          <xdr:col>19</xdr:col>
          <xdr:colOff>387350</xdr:colOff>
          <xdr:row>95</xdr:row>
          <xdr:rowOff>0</xdr:rowOff>
        </xdr:to>
        <xdr:sp macro="" textlink="">
          <xdr:nvSpPr>
            <xdr:cNvPr id="2158" name="Object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1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69850</xdr:colOff>
          <xdr:row>105</xdr:row>
          <xdr:rowOff>457200</xdr:rowOff>
        </xdr:from>
        <xdr:to>
          <xdr:col>19</xdr:col>
          <xdr:colOff>374650</xdr:colOff>
          <xdr:row>106</xdr:row>
          <xdr:rowOff>133350</xdr:rowOff>
        </xdr:to>
        <xdr:sp macro="" textlink="">
          <xdr:nvSpPr>
            <xdr:cNvPr id="2159" name="Object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1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125</xdr:row>
          <xdr:rowOff>88900</xdr:rowOff>
        </xdr:from>
        <xdr:to>
          <xdr:col>19</xdr:col>
          <xdr:colOff>419100</xdr:colOff>
          <xdr:row>126</xdr:row>
          <xdr:rowOff>120650</xdr:rowOff>
        </xdr:to>
        <xdr:sp macro="" textlink="">
          <xdr:nvSpPr>
            <xdr:cNvPr id="2160" name="Object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1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189</xdr:row>
          <xdr:rowOff>82550</xdr:rowOff>
        </xdr:from>
        <xdr:to>
          <xdr:col>19</xdr:col>
          <xdr:colOff>450850</xdr:colOff>
          <xdr:row>189</xdr:row>
          <xdr:rowOff>311150</xdr:rowOff>
        </xdr:to>
        <xdr:sp macro="" textlink="">
          <xdr:nvSpPr>
            <xdr:cNvPr id="2168" name="Object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188</xdr:row>
          <xdr:rowOff>38100</xdr:rowOff>
        </xdr:from>
        <xdr:to>
          <xdr:col>19</xdr:col>
          <xdr:colOff>463550</xdr:colOff>
          <xdr:row>188</xdr:row>
          <xdr:rowOff>285750</xdr:rowOff>
        </xdr:to>
        <xdr:sp macro="" textlink="">
          <xdr:nvSpPr>
            <xdr:cNvPr id="2170" name="Object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190</xdr:row>
          <xdr:rowOff>203200</xdr:rowOff>
        </xdr:from>
        <xdr:to>
          <xdr:col>19</xdr:col>
          <xdr:colOff>457200</xdr:colOff>
          <xdr:row>191</xdr:row>
          <xdr:rowOff>88900</xdr:rowOff>
        </xdr:to>
        <xdr:sp macro="" textlink="">
          <xdr:nvSpPr>
            <xdr:cNvPr id="2171" name="Object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152400</xdr:colOff>
          <xdr:row>192</xdr:row>
          <xdr:rowOff>44450</xdr:rowOff>
        </xdr:from>
        <xdr:to>
          <xdr:col>19</xdr:col>
          <xdr:colOff>463550</xdr:colOff>
          <xdr:row>192</xdr:row>
          <xdr:rowOff>158750</xdr:rowOff>
        </xdr:to>
        <xdr:sp macro="" textlink="">
          <xdr:nvSpPr>
            <xdr:cNvPr id="2172" name="Object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187</xdr:row>
          <xdr:rowOff>165100</xdr:rowOff>
        </xdr:from>
        <xdr:to>
          <xdr:col>19</xdr:col>
          <xdr:colOff>450850</xdr:colOff>
          <xdr:row>187</xdr:row>
          <xdr:rowOff>387350</xdr:rowOff>
        </xdr:to>
        <xdr:sp macro="" textlink="">
          <xdr:nvSpPr>
            <xdr:cNvPr id="2173" name="Object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1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193</xdr:row>
          <xdr:rowOff>222250</xdr:rowOff>
        </xdr:from>
        <xdr:to>
          <xdr:col>19</xdr:col>
          <xdr:colOff>457200</xdr:colOff>
          <xdr:row>195</xdr:row>
          <xdr:rowOff>203200</xdr:rowOff>
        </xdr:to>
        <xdr:sp macro="" textlink="">
          <xdr:nvSpPr>
            <xdr:cNvPr id="2174" name="Object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1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127000</xdr:colOff>
          <xdr:row>196</xdr:row>
          <xdr:rowOff>38100</xdr:rowOff>
        </xdr:from>
        <xdr:to>
          <xdr:col>19</xdr:col>
          <xdr:colOff>469900</xdr:colOff>
          <xdr:row>196</xdr:row>
          <xdr:rowOff>292100</xdr:rowOff>
        </xdr:to>
        <xdr:sp macro="" textlink="">
          <xdr:nvSpPr>
            <xdr:cNvPr id="2175" name="Object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1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197</xdr:row>
          <xdr:rowOff>57150</xdr:rowOff>
        </xdr:from>
        <xdr:to>
          <xdr:col>19</xdr:col>
          <xdr:colOff>476250</xdr:colOff>
          <xdr:row>197</xdr:row>
          <xdr:rowOff>311150</xdr:rowOff>
        </xdr:to>
        <xdr:sp macro="" textlink="">
          <xdr:nvSpPr>
            <xdr:cNvPr id="2176" name="Object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1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139700</xdr:colOff>
          <xdr:row>198</xdr:row>
          <xdr:rowOff>254000</xdr:rowOff>
        </xdr:from>
        <xdr:to>
          <xdr:col>19</xdr:col>
          <xdr:colOff>450850</xdr:colOff>
          <xdr:row>199</xdr:row>
          <xdr:rowOff>476250</xdr:rowOff>
        </xdr:to>
        <xdr:sp macro="" textlink="">
          <xdr:nvSpPr>
            <xdr:cNvPr id="2177" name="Object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1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200</xdr:row>
          <xdr:rowOff>127000</xdr:rowOff>
        </xdr:from>
        <xdr:to>
          <xdr:col>19</xdr:col>
          <xdr:colOff>457200</xdr:colOff>
          <xdr:row>200</xdr:row>
          <xdr:rowOff>381000</xdr:rowOff>
        </xdr:to>
        <xdr:sp macro="" textlink="">
          <xdr:nvSpPr>
            <xdr:cNvPr id="2179" name="Object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1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196850</xdr:colOff>
          <xdr:row>201</xdr:row>
          <xdr:rowOff>203200</xdr:rowOff>
        </xdr:from>
        <xdr:to>
          <xdr:col>19</xdr:col>
          <xdr:colOff>476250</xdr:colOff>
          <xdr:row>204</xdr:row>
          <xdr:rowOff>285750</xdr:rowOff>
        </xdr:to>
        <xdr:sp macro="" textlink="">
          <xdr:nvSpPr>
            <xdr:cNvPr id="2180" name="Object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1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205</xdr:row>
          <xdr:rowOff>215900</xdr:rowOff>
        </xdr:from>
        <xdr:to>
          <xdr:col>19</xdr:col>
          <xdr:colOff>476250</xdr:colOff>
          <xdr:row>207</xdr:row>
          <xdr:rowOff>812800</xdr:rowOff>
        </xdr:to>
        <xdr:sp macro="" textlink="">
          <xdr:nvSpPr>
            <xdr:cNvPr id="2181" name="Object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1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209</xdr:row>
          <xdr:rowOff>184150</xdr:rowOff>
        </xdr:from>
        <xdr:to>
          <xdr:col>19</xdr:col>
          <xdr:colOff>425450</xdr:colOff>
          <xdr:row>210</xdr:row>
          <xdr:rowOff>266700</xdr:rowOff>
        </xdr:to>
        <xdr:sp macro="" textlink="">
          <xdr:nvSpPr>
            <xdr:cNvPr id="2182" name="Object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1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208</xdr:row>
          <xdr:rowOff>171450</xdr:rowOff>
        </xdr:from>
        <xdr:to>
          <xdr:col>19</xdr:col>
          <xdr:colOff>457200</xdr:colOff>
          <xdr:row>208</xdr:row>
          <xdr:rowOff>412750</xdr:rowOff>
        </xdr:to>
        <xdr:sp macro="" textlink="">
          <xdr:nvSpPr>
            <xdr:cNvPr id="2183" name="Object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211</xdr:row>
          <xdr:rowOff>120650</xdr:rowOff>
        </xdr:from>
        <xdr:to>
          <xdr:col>19</xdr:col>
          <xdr:colOff>431800</xdr:colOff>
          <xdr:row>213</xdr:row>
          <xdr:rowOff>260350</xdr:rowOff>
        </xdr:to>
        <xdr:sp macro="" textlink="">
          <xdr:nvSpPr>
            <xdr:cNvPr id="2185" name="Object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214</xdr:row>
          <xdr:rowOff>1339850</xdr:rowOff>
        </xdr:from>
        <xdr:to>
          <xdr:col>19</xdr:col>
          <xdr:colOff>450850</xdr:colOff>
          <xdr:row>217</xdr:row>
          <xdr:rowOff>914400</xdr:rowOff>
        </xdr:to>
        <xdr:sp macro="" textlink="">
          <xdr:nvSpPr>
            <xdr:cNvPr id="2187" name="Object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158750</xdr:colOff>
          <xdr:row>218</xdr:row>
          <xdr:rowOff>158750</xdr:rowOff>
        </xdr:from>
        <xdr:to>
          <xdr:col>19</xdr:col>
          <xdr:colOff>482600</xdr:colOff>
          <xdr:row>218</xdr:row>
          <xdr:rowOff>387350</xdr:rowOff>
        </xdr:to>
        <xdr:sp macro="" textlink="">
          <xdr:nvSpPr>
            <xdr:cNvPr id="2188" name="Object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219</xdr:row>
          <xdr:rowOff>584200</xdr:rowOff>
        </xdr:from>
        <xdr:to>
          <xdr:col>19</xdr:col>
          <xdr:colOff>431800</xdr:colOff>
          <xdr:row>223</xdr:row>
          <xdr:rowOff>196850</xdr:rowOff>
        </xdr:to>
        <xdr:sp macro="" textlink="">
          <xdr:nvSpPr>
            <xdr:cNvPr id="2189" name="Object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101600</xdr:colOff>
          <xdr:row>224</xdr:row>
          <xdr:rowOff>203200</xdr:rowOff>
        </xdr:from>
        <xdr:to>
          <xdr:col>19</xdr:col>
          <xdr:colOff>482600</xdr:colOff>
          <xdr:row>224</xdr:row>
          <xdr:rowOff>476250</xdr:rowOff>
        </xdr:to>
        <xdr:sp macro="" textlink="">
          <xdr:nvSpPr>
            <xdr:cNvPr id="2190" name="Object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114300</xdr:colOff>
          <xdr:row>226</xdr:row>
          <xdr:rowOff>241300</xdr:rowOff>
        </xdr:from>
        <xdr:to>
          <xdr:col>19</xdr:col>
          <xdr:colOff>469900</xdr:colOff>
          <xdr:row>226</xdr:row>
          <xdr:rowOff>508000</xdr:rowOff>
        </xdr:to>
        <xdr:sp macro="" textlink="">
          <xdr:nvSpPr>
            <xdr:cNvPr id="2191" name="Object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225</xdr:row>
          <xdr:rowOff>736600</xdr:rowOff>
        </xdr:from>
        <xdr:to>
          <xdr:col>19</xdr:col>
          <xdr:colOff>431800</xdr:colOff>
          <xdr:row>225</xdr:row>
          <xdr:rowOff>1060450</xdr:rowOff>
        </xdr:to>
        <xdr:sp macro="" textlink="">
          <xdr:nvSpPr>
            <xdr:cNvPr id="2192" name="Object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227</xdr:row>
          <xdr:rowOff>69850</xdr:rowOff>
        </xdr:from>
        <xdr:to>
          <xdr:col>19</xdr:col>
          <xdr:colOff>463550</xdr:colOff>
          <xdr:row>227</xdr:row>
          <xdr:rowOff>298450</xdr:rowOff>
        </xdr:to>
        <xdr:sp macro="" textlink="">
          <xdr:nvSpPr>
            <xdr:cNvPr id="2194" name="Object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171450</xdr:colOff>
          <xdr:row>228</xdr:row>
          <xdr:rowOff>184150</xdr:rowOff>
        </xdr:from>
        <xdr:to>
          <xdr:col>19</xdr:col>
          <xdr:colOff>457200</xdr:colOff>
          <xdr:row>230</xdr:row>
          <xdr:rowOff>247650</xdr:rowOff>
        </xdr:to>
        <xdr:sp macro="" textlink="">
          <xdr:nvSpPr>
            <xdr:cNvPr id="2195" name="Object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209550</xdr:colOff>
          <xdr:row>231</xdr:row>
          <xdr:rowOff>209550</xdr:rowOff>
        </xdr:from>
        <xdr:to>
          <xdr:col>19</xdr:col>
          <xdr:colOff>393700</xdr:colOff>
          <xdr:row>234</xdr:row>
          <xdr:rowOff>158750</xdr:rowOff>
        </xdr:to>
        <xdr:sp macro="" textlink="">
          <xdr:nvSpPr>
            <xdr:cNvPr id="2196" name="Object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235</xdr:row>
          <xdr:rowOff>139700</xdr:rowOff>
        </xdr:from>
        <xdr:to>
          <xdr:col>19</xdr:col>
          <xdr:colOff>463550</xdr:colOff>
          <xdr:row>235</xdr:row>
          <xdr:rowOff>425450</xdr:rowOff>
        </xdr:to>
        <xdr:sp macro="" textlink="">
          <xdr:nvSpPr>
            <xdr:cNvPr id="2197" name="Object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120650</xdr:colOff>
          <xdr:row>236</xdr:row>
          <xdr:rowOff>552450</xdr:rowOff>
        </xdr:from>
        <xdr:to>
          <xdr:col>19</xdr:col>
          <xdr:colOff>431800</xdr:colOff>
          <xdr:row>237</xdr:row>
          <xdr:rowOff>133350</xdr:rowOff>
        </xdr:to>
        <xdr:sp macro="" textlink="">
          <xdr:nvSpPr>
            <xdr:cNvPr id="2198" name="Object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177800</xdr:colOff>
          <xdr:row>238</xdr:row>
          <xdr:rowOff>406400</xdr:rowOff>
        </xdr:from>
        <xdr:to>
          <xdr:col>19</xdr:col>
          <xdr:colOff>469900</xdr:colOff>
          <xdr:row>238</xdr:row>
          <xdr:rowOff>679450</xdr:rowOff>
        </xdr:to>
        <xdr:sp macro="" textlink="">
          <xdr:nvSpPr>
            <xdr:cNvPr id="2199" name="Object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165100</xdr:colOff>
          <xdr:row>239</xdr:row>
          <xdr:rowOff>768350</xdr:rowOff>
        </xdr:from>
        <xdr:to>
          <xdr:col>19</xdr:col>
          <xdr:colOff>463550</xdr:colOff>
          <xdr:row>240</xdr:row>
          <xdr:rowOff>171450</xdr:rowOff>
        </xdr:to>
        <xdr:sp macro="" textlink="">
          <xdr:nvSpPr>
            <xdr:cNvPr id="2200" name="Object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260350</xdr:colOff>
          <xdr:row>9</xdr:row>
          <xdr:rowOff>12700</xdr:rowOff>
        </xdr:from>
        <xdr:to>
          <xdr:col>8</xdr:col>
          <xdr:colOff>488950</xdr:colOff>
          <xdr:row>10</xdr:row>
          <xdr:rowOff>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285750</xdr:colOff>
          <xdr:row>15</xdr:row>
          <xdr:rowOff>152400</xdr:rowOff>
        </xdr:from>
        <xdr:to>
          <xdr:col>8</xdr:col>
          <xdr:colOff>539750</xdr:colOff>
          <xdr:row>16</xdr:row>
          <xdr:rowOff>158750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2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323850</xdr:colOff>
          <xdr:row>26</xdr:row>
          <xdr:rowOff>0</xdr:rowOff>
        </xdr:from>
        <xdr:to>
          <xdr:col>8</xdr:col>
          <xdr:colOff>558800</xdr:colOff>
          <xdr:row>26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2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29</xdr:row>
          <xdr:rowOff>0</xdr:rowOff>
        </xdr:from>
        <xdr:to>
          <xdr:col>8</xdr:col>
          <xdr:colOff>584200</xdr:colOff>
          <xdr:row>30</xdr:row>
          <xdr:rowOff>6350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2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drinayoo" refreshedDate="45107.988895138886" createdVersion="8" refreshedVersion="8" minRefreshableVersion="3" recordCount="427" xr:uid="{EEFEE37D-7BC1-4EE5-B33B-F4EB43FCEEA3}">
  <cacheSource type="worksheet">
    <worksheetSource ref="A5:R432" sheet="Raw Inventory"/>
  </cacheSource>
  <cacheFields count="18">
    <cacheField name="Date" numFmtId="14">
      <sharedItems containsDate="1" containsMixedTypes="1" minDate="2019-12-19T00:00:00" maxDate="2022-12-01T00:00:00"/>
    </cacheField>
    <cacheField name="Period" numFmtId="0">
      <sharedItems containsSemiMixedTypes="0" containsString="0" containsNumber="1" containsInteger="1" minValue="1" maxValue="12" count="12">
        <n v="12"/>
        <n v="6"/>
        <n v="7"/>
        <n v="8"/>
        <n v="9"/>
        <n v="10"/>
        <n v="11"/>
        <n v="1"/>
        <n v="2"/>
        <n v="3"/>
        <n v="4"/>
        <n v="5"/>
      </sharedItems>
    </cacheField>
    <cacheField name="Year" numFmtId="0">
      <sharedItems containsSemiMixedTypes="0" containsString="0" containsNumber="1" containsInteger="1" minValue="2019" maxValue="2022" count="4">
        <n v="2019"/>
        <n v="2020"/>
        <n v="2021"/>
        <n v="2022"/>
      </sharedItems>
    </cacheField>
    <cacheField name="Invoice No" numFmtId="0">
      <sharedItems containsBlank="1" containsMixedTypes="1" containsNumber="1" containsInteger="1" minValue="13101" maxValue="100620" count="178">
        <s v="Proforma Inv 0077 "/>
        <s v="CS12339"/>
        <n v="100620"/>
        <s v="CS12557"/>
        <s v="CS12558"/>
        <s v="CS12605"/>
        <s v="CS12642"/>
        <s v="M0006916"/>
        <s v="M0007011"/>
        <s v="CS12860"/>
        <s v="CS13007"/>
        <s v="SC12860"/>
        <s v="SC12922"/>
        <s v="CS12968"/>
        <s v="CS12944"/>
        <s v="CS13004"/>
        <s v="CS13034"/>
        <s v="CS13093"/>
        <s v="CS13138"/>
        <s v="M0007190"/>
        <s v="CS13213"/>
        <s v="CS13238"/>
        <s v="CS13244"/>
        <s v="CS13272"/>
        <s v="CS13328"/>
        <s v="CS13356"/>
        <s v="CS13245"/>
        <s v="CS13358"/>
        <m/>
        <s v="CS13608"/>
        <s v="CS13514"/>
        <s v="CS15314"/>
        <s v="CS13593"/>
        <s v="M0007487"/>
        <s v="CS13635"/>
        <s v="00040416"/>
        <s v="00040431"/>
        <s v="00040518"/>
        <s v="M0007675"/>
        <s v="00040714/765"/>
        <s v="00040714"/>
        <s v="00040699"/>
        <s v="00040766"/>
        <s v="00040847"/>
        <s v="00040902"/>
        <s v="00040982"/>
        <s v="00041010"/>
        <s v="00041039"/>
        <s v="A190005"/>
        <s v="00041111"/>
        <s v="00041141"/>
        <s v="00041140"/>
        <n v="18634"/>
        <s v="00041364"/>
        <n v="18674"/>
        <s v="00004075"/>
        <s v="00041369"/>
        <s v="00041394"/>
        <s v="00041396"/>
        <s v="00041398"/>
        <s v="00041435"/>
        <s v="00041462"/>
        <s v="00041487"/>
        <s v="00041507"/>
        <s v="07397"/>
        <s v="00041518"/>
        <s v="00041599"/>
        <s v="07406"/>
        <s v="00001068"/>
        <n v="13101"/>
        <s v="00041684"/>
        <s v="A190007"/>
        <s v="00041756"/>
        <s v="00041777"/>
        <s v="07435"/>
        <s v="00042447"/>
        <s v="00042422"/>
        <s v="00001095"/>
        <s v="00042535"/>
        <s v="A0001"/>
        <s v="00042565"/>
        <s v="I-000498"/>
        <s v="I-000499"/>
        <s v="00042591"/>
        <s v="00042601"/>
        <s v="I-000500"/>
        <n v="18084"/>
        <s v="00042618"/>
        <s v="00001098"/>
        <s v="00042677"/>
        <s v="00004281"/>
        <s v="00042704"/>
        <s v="00042724"/>
        <s v="00042725"/>
        <s v="00042750"/>
        <s v="00042749"/>
        <s v="00042766"/>
        <s v="SO2111/004"/>
        <s v="00042775"/>
        <s v="0001106"/>
        <s v="00042807"/>
        <s v="00042820"/>
        <s v="00042748"/>
        <s v="I-000507"/>
        <s v="I-000506"/>
        <s v="00042930"/>
        <s v="00001113"/>
        <s v="00042998"/>
        <s v="00043003"/>
        <s v="00043012"/>
        <s v="07567"/>
        <s v="07566"/>
        <s v="00001115"/>
        <s v="00043046"/>
        <s v="K20771"/>
        <s v="K20774"/>
        <s v="K20777"/>
        <s v="00043092"/>
        <s v="00043118"/>
        <s v="00001124"/>
        <s v="0001127"/>
        <s v="00004352"/>
        <s v="00001130"/>
        <s v="00001131"/>
        <s v="00043256"/>
        <s v="00043287"/>
        <s v="00001132"/>
        <s v="00001136"/>
        <s v="00043389"/>
        <s v="00043435"/>
        <s v="T26044"/>
        <s v="00043465"/>
        <s v="T26142"/>
        <s v="00004423"/>
        <s v="T26168"/>
        <s v="I-000509"/>
        <s v="00043613"/>
        <s v="00004450"/>
        <s v="T26373"/>
        <s v="T26383"/>
        <s v="T26386"/>
        <s v="I-000515"/>
        <s v="T26428"/>
        <s v="T26509"/>
        <s v="T26531"/>
        <s v="T26578"/>
        <s v="T26518"/>
        <s v="00044000"/>
        <s v="T26605"/>
        <s v="T26614"/>
        <s v="T26618"/>
        <s v="00044058"/>
        <s v="00044083"/>
        <s v="00044079"/>
        <s v="00044080"/>
        <s v="T26705"/>
        <s v="T26697"/>
        <s v="T26724"/>
        <s v="INV/0001-034301"/>
        <s v="T26762"/>
        <s v="00044148"/>
        <s v="R000130550"/>
        <s v="I-000591"/>
        <s v="00004589"/>
        <s v="T27629"/>
        <s v="T27648"/>
        <s v="T27643"/>
        <s v="T27666"/>
        <s v="T27678"/>
        <s v="T27713"/>
        <s v="T27717"/>
        <s v="T27739"/>
        <s v="T27768"/>
        <s v="T27772"/>
        <n v="45115"/>
        <s v="T27848"/>
        <n v="45183"/>
        <s v="T27856"/>
      </sharedItems>
    </cacheField>
    <cacheField name="Supplier" numFmtId="0">
      <sharedItems containsBlank="1" count="16">
        <s v="Chemrex"/>
        <s v="G-FRP"/>
        <s v="My East"/>
        <s v="Loo-Cash"/>
        <s v="Berjaya"/>
        <m/>
        <s v="Chemitra"/>
        <s v="Kai Chuan"/>
        <s v="WaterServ"/>
        <s v="DJ Hardware"/>
        <s v="Winsome"/>
        <s v="CH Fibreglass"/>
        <s v="Chemitone"/>
        <s v="S &amp; N "/>
        <s v="WPCP"/>
        <s v="Ban Hin "/>
      </sharedItems>
    </cacheField>
    <cacheField name="Product Code" numFmtId="0">
      <sharedItems/>
    </cacheField>
    <cacheField name="Product Code 2" numFmtId="0">
      <sharedItems count="142">
        <s v="RA Resin SHCP 268W (225kg)"/>
        <s v="RA Resin SHCP 268NW (225kg)"/>
        <s v="RA CSM 450 (37Kg) 1040mm"/>
        <s v="RA CSM 300 (30Kg) 1040mm"/>
        <s v="RA Gelcoat GP-H (20kg)"/>
        <s v="RA Gelcoat GS-S ISO (20kg)"/>
        <s v="RA CSM 450 (54Kg) 1860mm"/>
        <s v="RA Butanox M50 (5kg)"/>
        <s v="RB Acetone (160Kg)"/>
        <s v="RA Nor 3338W (220Kg)"/>
        <s v="RA Talcum Powder (25kg)"/>
        <s v="RA Nor 3338NW (220Kg)"/>
        <s v="Silicone Rubber (25Kg)"/>
        <s v="RC Woven Roving E-800 1000mm (40Kg)"/>
        <s v="RA CSM 300 (54Kg) 1860mm"/>
        <s v="RA Gelcoat GS-H (20kg)"/>
        <s v="RA Bosny Wax (15Kg)"/>
        <s v="RA Resin 3317AW (220Kg)"/>
        <s v="RA Accelerator (5Kg)"/>
        <s v="RA Miracle Gloss Wax No. 8 (311g/Can)"/>
        <s v="RA Pigment Super White (25Kg)"/>
        <s v="Brush 2 1.2&quot; (12Pc)"/>
        <s v="RA Pigment Black (5Kg)"/>
        <s v="RA CSM 450 TWL (30Kg) 1040mm"/>
        <s v="Alkaline resistance Chopped Strand 24MM (18Kgs)"/>
        <s v="RA Mirror Glaze 0811"/>
        <s v="RA Tooling Gelcoat RP92 (22Kg)"/>
        <s v="Vinlyeter Resin (200Kg)"/>
        <s v="RA Pigment H 2006 Dark Grey (5Kg)"/>
        <s v="RA Deawa DW-5214"/>
        <s v="RA Pigment H 7001 Bright Orange (5Kg)"/>
        <s v="RA Steel Roller 3&quot;"/>
        <s v="RA Aerosil (Silica Fume) (10Kg)"/>
        <s v="RA Accelerator (4Kgs)"/>
        <s v="RA Styrene Monomer (16Kg)"/>
        <s v="RA Steel Roller 4&quot;"/>
        <s v="RA Mepoxe M (5kg)"/>
        <s v="RA Pigment Super White (5Kg)"/>
        <s v="Brush 3&quot; (12Pc)"/>
        <s v="RD Paint Brush 3&quot;(12Pc/Ctr)"/>
        <s v="RD Iron Roller 4&quot;"/>
        <s v="RD Iron Roller 3&quot;"/>
        <s v="RE Frekote 770NC (1 Gallon)"/>
        <s v="RA Resin 9539NW (225Kg)"/>
        <s v="RF Resin 3317AW (220Kg)"/>
        <s v="RF Nor 3338NW (220Kg)"/>
        <s v="RF Nor 3338W (220Kg)"/>
        <s v="RG CSM 450 CQ 54kg 64m(L) X 1860mm(W)"/>
        <s v="RH Bosny Wax (15Kg)"/>
        <s v="Brush 1.1/2&quot;(12Pc)"/>
        <s v="Mould Released TR"/>
        <s v="RA CSM 450 TWL (37Kg) 1040mm"/>
        <s v="RA CSM 450 (60Kg) 2080mm"/>
        <s v="RI Silicone Rubber (25kg)"/>
        <s v="RA Resin SHCP268W (225kg)"/>
        <s v="RA Woven Roving E-600 (45kg) 1120mm"/>
        <s v="RJ Nor 3338W (220Kg)"/>
        <s v="RJ CSM 450 60kg 64m(L) X 2080mm(W)"/>
        <s v="RJ TR104 Hi Temp Wax"/>
        <s v="RA Vinylester Resin 7110-NC (Promoted) (25kg)"/>
        <s v="RJ Woven Roving E-600 (45kg) 1120mm"/>
        <s v="RK Smooth Cream (25kg)"/>
        <s v="RJ Resin 3317AW (220Kg)"/>
        <s v="RG Nor 3338W (220Kg)"/>
        <s v="RA Pigment Super Black (5kg)"/>
        <s v="RL CSM 450 Jushi 37kg 79m(L) X 1040mm(W)"/>
        <s v="RA Resin 9539W (225Kg)"/>
        <s v="RA Woven Roving E-800 (45kg) 1120mm"/>
        <s v="RA Tissue Mat (300M2) 30G/M2 1Meter (9Kg) Soft"/>
        <s v="RF Woven Roving E-600 (45kg) 1120mm"/>
        <s v="RG Resin 3317AW (220Kg)"/>
        <s v="RL CSM 450 Jushi 37kg 1040mm(W)"/>
        <s v="RL CSM 450 Jushi 54kg 1860mm(W)"/>
        <s v="RL CSM 450 Jushi 64kg 1800mm(W)"/>
        <s v="RA CSM 450 (30Kg) 64m(L) x 1040mm(W)"/>
        <s v="RA CSM 450 (60Kg) 64m(L) x 2080mm(W)"/>
        <s v="RG CSM 450 (30Kg) 64m(L) x 1040mm(W)"/>
        <s v="RG CSM 300 (30Kg) 64m(L) x 1040mm(W)"/>
        <s v="RG Woven Roving E-600 (45kg) 1120mm"/>
        <s v="RG Nor 3338NW (220Kg)"/>
        <s v="RG TR104 Hi Temp Wax"/>
        <s v="RG CSM 450 Jushi 54kg 1860mm(W)"/>
        <s v="RM Nor 3338NW (220Kg)"/>
        <s v="RM Wax Solution 54-56 (10L)"/>
        <s v="RM NPG Gelcoat 9319-H (25Kg)"/>
        <s v="RM Pgment Paste Riviera Blue B5 (5Kg)"/>
        <s v="RM CSM 450 (30Kg) 64m(L) x 1040mm(W)"/>
        <s v="RM CSM 450 (60Kg) 64m(L) x 2080mm(W)"/>
        <s v="RJ Mepoxe (5kg)"/>
        <s v="RM Woven Roving E-600gm 1000mm (40Kg)"/>
        <s v="RM Cobalt (5kg)"/>
        <s v="RM Acetone (163Kg)"/>
        <s v="RM Pigment Paste Smooth Cream M19 (25kg)"/>
        <s v="RM Polycor GS-H Gelcoat (25Kg)"/>
        <s v="RM NPG Gelcoat 9319-H (5Kg)"/>
        <s v="RM CSM 450 64m(L) X 1860mm(W) (54kg)"/>
        <s v="RM Resin Nor 3338W (220Kg)"/>
        <s v="RM Resin Nor 3317AW (220Kg)"/>
        <s v="RM Fume silica HJSIL 200 (10Kg)"/>
        <s v="RA  Woven Roing 600 1120mm (45kg)"/>
        <s v="RA Resin Nor 3338W (220Kg)"/>
        <s v="RA Woven Roing 600 1120mm (45kg)"/>
        <s v="RM Epoxy primer 15Kg + Hardener 7.5Kg (22.5Kg)"/>
        <s v="RM Catalyst Despensor"/>
        <s v="RM Pigment Opaline H1 (10Kg)"/>
        <s v="RM Gelcoat GPH (20Kg)"/>
        <s v="RM Pigment Super Black (5Kg)"/>
        <s v="RJ Woven Roving E-600gm 1000mm (40Kg)"/>
        <s v="RA CSM 300 (30Kg) 64m(L) x 1040mm(W)"/>
        <s v="RM Pigment Dark Grey G19 (5Kg)"/>
        <s v="RM Talcum Powder (25kg)"/>
        <s v="RM Resin 3317AW (220Kg)"/>
        <s v="RA Sand Wheel 105 X 2 X 16 (30PC)"/>
        <s v="RM Woven Roving E-800 1000mm (40Kg)"/>
        <s v="RM Butonox M50 (5kg)"/>
        <s v="Pigment Super White (5Kg)"/>
        <s v="RM PVA (5Kg)"/>
        <s v="RM TR104 Hi Temp Wax"/>
        <s v="RM Pigment Super White (5Kg)"/>
        <s v="RA CSM 450 Jushi 64m(L) x 1040mm(W) (37Kg)"/>
        <s v="RM CSM 450 Jushi 64m(L) X 1860mm(W) (67kg)"/>
        <s v="RM Resin 268BQTN (225Kg)"/>
        <s v="RM Cobalt 10% (5kg)"/>
        <s v="RM Resin 3338W (220Kg)"/>
        <s v="RA CSM 450 TWL 79m(L) x 1040mm(W) (30kg)"/>
        <s v="RA Resin 3338W (220Kg)"/>
        <s v="RM Vinly Ester Resin (20 Kg)"/>
        <s v="RJ Butonox M50 (5kg)"/>
        <s v="RM Brush 3&quot; (12Pc)"/>
        <s v="RM Pigment Orange (5Kg)"/>
        <s v="RM CSM 450 79m(L) x 1040mm(W) (30kg)"/>
        <s v="RM Woven Roing 600 1000mm (40kg)"/>
        <s v="RM Woven Roving 600 1000mm (40Kg)"/>
        <s v="RM Gelcoat GSH (20Kg)"/>
        <s v="RM Resin 3338W (20Kg)"/>
        <s v="RM Resin 3338W (22.50Kg)"/>
        <s v="RM VE Resin SW091-3P (22.50Kg)"/>
        <s v="RM CSM 300 96m(L) X 1860mm(W) (54kg)"/>
        <s v="RM MEKP-9 (3.6kg)"/>
        <s v="RN Bosny Wax (15Kg)"/>
        <s v="RA Resin 3338W (20Kg)"/>
        <s v="Gelcoat GPH (20kg)"/>
      </sharedItems>
    </cacheField>
    <cacheField name="Delivery mode" numFmtId="0">
      <sharedItems/>
    </cacheField>
    <cacheField name="Stock (In)" numFmtId="0">
      <sharedItems containsSemiMixedTypes="0" containsString="0" containsNumber="1" containsInteger="1" minValue="1" maxValue="80"/>
    </cacheField>
    <cacheField name="Packaging" numFmtId="0">
      <sharedItems/>
    </cacheField>
    <cacheField name="Unit Price" numFmtId="0">
      <sharedItems containsSemiMixedTypes="0" containsString="0" containsNumber="1" minValue="17.5" maxValue="2600"/>
    </cacheField>
    <cacheField name="Amount (RM)" numFmtId="43">
      <sharedItems containsSemiMixedTypes="0" containsString="0" containsNumber="1" minValue="28.8" maxValue="37400"/>
    </cacheField>
    <cacheField name="Cumulative (RM)" numFmtId="43">
      <sharedItems containsSemiMixedTypes="0" containsString="0" containsNumber="1" minValue="6131.25" maxValue="1955806.35"/>
    </cacheField>
    <cacheField name="Date (out)" numFmtId="0">
      <sharedItems containsBlank="1"/>
    </cacheField>
    <cacheField name="Stock (out)" numFmtId="0">
      <sharedItems containsString="0" containsBlank="1" containsNumber="1" containsInteger="1" minValue="1" maxValue="80"/>
    </cacheField>
    <cacheField name="Stock Balance" numFmtId="0">
      <sharedItems containsSemiMixedTypes="0" containsString="0" containsNumber="1" containsInteger="1" minValue="0" maxValue="40"/>
    </cacheField>
    <cacheField name="DO No" numFmtId="0">
      <sharedItems containsBlank="1"/>
    </cacheField>
    <cacheField name="Remark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27">
  <r>
    <d v="2019-12-19T00:00:00"/>
    <x v="0"/>
    <x v="0"/>
    <x v="0"/>
    <x v="0"/>
    <s v="RA Resin SHCP 268W (225kg)"/>
    <x v="0"/>
    <s v="Delivered"/>
    <n v="5"/>
    <s v="Drum"/>
    <n v="1226.25"/>
    <n v="6131.25"/>
    <n v="6131.25"/>
    <s v="20/5, 11/6, 17/6, 22/6, 20/11"/>
    <n v="5"/>
    <n v="0"/>
    <s v="DO01(1), DO03(1)*, DO04(1)*, DO05(1)*, DO54(1)*"/>
    <s v="GFRP=(3)*+(1)W"/>
  </r>
  <r>
    <d v="2019-12-19T00:00:00"/>
    <x v="0"/>
    <x v="0"/>
    <x v="0"/>
    <x v="0"/>
    <s v="RA Resin SHCP 268NW (225kg)"/>
    <x v="1"/>
    <s v="Delivered"/>
    <n v="1"/>
    <s v="Drum"/>
    <n v="1226.25"/>
    <n v="1226.25"/>
    <n v="7357.5"/>
    <s v="20/11"/>
    <n v="1"/>
    <n v="0"/>
    <s v="DO54(1)*"/>
    <s v="GFRP=(1)N"/>
  </r>
  <r>
    <d v="2019-12-19T00:00:00"/>
    <x v="0"/>
    <x v="0"/>
    <x v="0"/>
    <x v="0"/>
    <s v="RA CSM 450 GSM JUSHI 37kg 79m(L) X 1040mm(W)"/>
    <x v="2"/>
    <s v="Delivered"/>
    <n v="16"/>
    <s v="Roll"/>
    <n v="173.9"/>
    <n v="2782.4"/>
    <n v="10139.9"/>
    <s v="20/5, 17/6, 12/8, 27/8, 12/10"/>
    <n v="16"/>
    <n v="0"/>
    <s v="DO1(6), DO04(3), DO14(4), DO23(2), DO37(1)"/>
    <m/>
  </r>
  <r>
    <d v="2019-12-19T00:00:00"/>
    <x v="0"/>
    <x v="0"/>
    <x v="0"/>
    <x v="0"/>
    <s v="RA CSM 300 GSM TWL 30kg 64m(L) x 1040mm(W)"/>
    <x v="3"/>
    <s v="Delivered"/>
    <n v="4"/>
    <s v="Roll"/>
    <n v="141"/>
    <n v="564"/>
    <n v="10703.9"/>
    <s v="8/8, 5/10, 17/10"/>
    <n v="4"/>
    <n v="0"/>
    <s v="DO11(2), DO34(1), DO40(1)"/>
    <m/>
  </r>
  <r>
    <d v="2019-12-19T00:00:00"/>
    <x v="0"/>
    <x v="0"/>
    <x v="0"/>
    <x v="0"/>
    <s v="RA Gelcoat GP-H (20kg)"/>
    <x v="4"/>
    <s v="Delivered"/>
    <n v="10"/>
    <s v="Pail"/>
    <n v="180"/>
    <n v="1800"/>
    <n v="12503.9"/>
    <s v="1/7, 19/8"/>
    <n v="10"/>
    <n v="0"/>
    <s v="DO06(8)+(1)*, DO17(1)"/>
    <s v="GFRP=(1)*+(1)GP-H"/>
  </r>
  <r>
    <d v="2020-06-02T00:00:00"/>
    <x v="1"/>
    <x v="1"/>
    <x v="1"/>
    <x v="0"/>
    <s v="RA Resin SHCP 268NW (225kg)"/>
    <x v="1"/>
    <s v="Delivered"/>
    <n v="1"/>
    <s v="Drum"/>
    <n v="1181.25"/>
    <n v="1181.25"/>
    <n v="13685.15"/>
    <s v="20/11"/>
    <n v="1"/>
    <n v="0"/>
    <s v="DO54(1)*"/>
    <s v="GFRP(1)N"/>
  </r>
  <r>
    <d v="2020-06-02T00:00:00"/>
    <x v="1"/>
    <x v="1"/>
    <x v="1"/>
    <x v="0"/>
    <s v="RA Gelcoat GS-S ISO (20kg)"/>
    <x v="5"/>
    <s v="Delivered"/>
    <n v="2"/>
    <s v="Pail"/>
    <n v="176"/>
    <n v="352"/>
    <n v="14037.15"/>
    <s v="2/6"/>
    <n v="2"/>
    <n v="0"/>
    <s v="DO02(2)"/>
    <m/>
  </r>
  <r>
    <d v="2020-06-02T00:00:00"/>
    <x v="1"/>
    <x v="1"/>
    <x v="1"/>
    <x v="0"/>
    <s v="RA CSM 450 TWL 54kg 64m(L) X 1860mm(W)"/>
    <x v="6"/>
    <s v="Delivered"/>
    <n v="16"/>
    <s v="Roll"/>
    <n v="253.8"/>
    <n v="4060.8"/>
    <n v="18097.95"/>
    <s v="19/8, 22/8, 15/9, 21/9, 9/11, 11/11"/>
    <n v="16"/>
    <n v="0"/>
    <s v="DO16(1), DO18(4), DO27(3). DO29-1(5), DO48(1), DO51(2)"/>
    <m/>
  </r>
  <r>
    <d v="2020-06-02T00:00:00"/>
    <x v="1"/>
    <x v="1"/>
    <x v="1"/>
    <x v="0"/>
    <s v="RA Butanox M50 (5kg)"/>
    <x v="7"/>
    <s v="Delivered"/>
    <n v="12"/>
    <s v="Bottle"/>
    <n v="77.5"/>
    <n v="930"/>
    <n v="19027.95"/>
    <s v="17/6,  22/6, 15/7, 10/8, 10/8,"/>
    <n v="12"/>
    <n v="0"/>
    <s v="DO04(2), DO05(2), DO08(1), DO12(1), DO13(4), DO20(2)"/>
    <m/>
  </r>
  <r>
    <d v="2020-06-10T00:00:00"/>
    <x v="1"/>
    <x v="1"/>
    <x v="2"/>
    <x v="1"/>
    <s v="RB Acetone (160Kg)"/>
    <x v="8"/>
    <s v="Delivered"/>
    <n v="1"/>
    <s v="Drum"/>
    <n v="470"/>
    <n v="470"/>
    <n v="19497.95"/>
    <s v="11/6"/>
    <n v="1"/>
    <n v="0"/>
    <s v="DO03"/>
    <m/>
  </r>
  <r>
    <d v="2020-07-04T00:00:00"/>
    <x v="2"/>
    <x v="1"/>
    <x v="3"/>
    <x v="0"/>
    <s v="RA Nor 3338W (220Kg)"/>
    <x v="9"/>
    <s v="Delivered"/>
    <n v="4"/>
    <s v="Drum"/>
    <n v="1155"/>
    <n v="4620"/>
    <n v="24117.95"/>
    <s v="15/7, 1/8, 7/8"/>
    <n v="4"/>
    <n v="0"/>
    <s v="DO08(1), DO09(2), DO10(1)"/>
    <m/>
  </r>
  <r>
    <d v="2020-07-04T00:00:00"/>
    <x v="2"/>
    <x v="1"/>
    <x v="3"/>
    <x v="0"/>
    <s v="RA CSM 450 GSM JUSHI 37kg 79m(L) X 1040mm(W)"/>
    <x v="2"/>
    <s v="Delivered"/>
    <n v="20"/>
    <s v="Roll"/>
    <n v="173.9"/>
    <n v="3478"/>
    <n v="27595.95"/>
    <s v="5/9, 17/9, 23/9, 12/10, 21/10, 31/10"/>
    <n v="20"/>
    <n v="0"/>
    <s v="DO26(4), DO28(2), DO30(4), DO37(3), DO44(4), DO46(3)"/>
    <m/>
  </r>
  <r>
    <d v="2020-07-04T00:00:00"/>
    <x v="2"/>
    <x v="1"/>
    <x v="3"/>
    <x v="0"/>
    <s v="RA Butanox M50 (5kg)"/>
    <x v="7"/>
    <s v="Delivered"/>
    <n v="20"/>
    <s v="Bottle"/>
    <n v="77.5"/>
    <n v="1550"/>
    <n v="29145.95"/>
    <s v="15/7, 22/8, 27/8, 1/9, 15/9, 23/9"/>
    <n v="20"/>
    <n v="0"/>
    <s v="DO08(3),  DO18(4), DO23(4), DO24(2), DO27(4), DO30(3)"/>
    <m/>
  </r>
  <r>
    <d v="2020-07-04T00:00:00"/>
    <x v="2"/>
    <x v="1"/>
    <x v="3"/>
    <x v="0"/>
    <s v="RA Talcum Powder (25kg)"/>
    <x v="10"/>
    <s v="Delivered"/>
    <n v="40"/>
    <s v="Bags"/>
    <n v="17.5"/>
    <n v="700"/>
    <n v="29845.95"/>
    <s v="24/8, 27/8, 23/9, 5/10, 21/10, 20/11, 23/11, 30/11"/>
    <n v="40"/>
    <n v="0"/>
    <s v="DO20(4), DO23(5), DO30(5), DO34(8), DO44(5), DO54(5), DO58(3), DO62(5)"/>
    <m/>
  </r>
  <r>
    <d v="2020-07-08T00:00:00"/>
    <x v="2"/>
    <x v="1"/>
    <x v="4"/>
    <x v="0"/>
    <s v="RA Nor 3338W (220Kg)"/>
    <x v="9"/>
    <s v="Delivered"/>
    <n v="8"/>
    <s v="Drum"/>
    <n v="1155"/>
    <n v="9240"/>
    <n v="39085.949999999997"/>
    <s v="7/8, 10/8, 10/8, 12/8,19/8, 24/8"/>
    <n v="8"/>
    <n v="0"/>
    <s v="DO10(1), DO12(1), DO13(2), DO14(1), DO17(1), DO19(1), DO20(1)"/>
    <m/>
  </r>
  <r>
    <d v="2020-07-08T00:00:00"/>
    <x v="2"/>
    <x v="1"/>
    <x v="4"/>
    <x v="0"/>
    <s v="RA Nor 3338NW (220Kg)"/>
    <x v="11"/>
    <s v="Delivered"/>
    <n v="2"/>
    <s v="Drum"/>
    <n v="1155"/>
    <n v="2310"/>
    <n v="41395.949999999997"/>
    <s v="25/8, 15/9"/>
    <n v="2"/>
    <n v="0"/>
    <s v="DO21(1), DO27(1)"/>
    <m/>
  </r>
  <r>
    <d v="2020-07-08T00:00:00"/>
    <x v="2"/>
    <x v="1"/>
    <x v="5"/>
    <x v="0"/>
    <s v="RA Resin SHCP 268W (225kg)"/>
    <x v="0"/>
    <s v="Delivered"/>
    <n v="2"/>
    <s v="Drum"/>
    <n v="1181.25"/>
    <n v="2362.5"/>
    <n v="43758.45"/>
    <s v="10/3"/>
    <n v="2"/>
    <n v="0"/>
    <s v="DO87(2)"/>
    <s v="GFRP=(2)W"/>
  </r>
  <r>
    <d v="2020-07-08T00:00:00"/>
    <x v="2"/>
    <x v="1"/>
    <x v="5"/>
    <x v="0"/>
    <s v="RA Resin SHCP 268NW (225kg)"/>
    <x v="1"/>
    <s v="Delivered"/>
    <n v="1"/>
    <s v="Drum"/>
    <n v="1181.25"/>
    <n v="1181.25"/>
    <n v="44939.7"/>
    <s v="10/3"/>
    <n v="1"/>
    <n v="0"/>
    <s v="DO87(1)"/>
    <s v="GFRP=(1)N"/>
  </r>
  <r>
    <d v="2020-07-08T00:00:00"/>
    <x v="2"/>
    <x v="1"/>
    <x v="5"/>
    <x v="0"/>
    <s v="RA Gelcoat GP-H (20kg)"/>
    <x v="4"/>
    <s v="Delivered"/>
    <n v="10"/>
    <s v="Pail"/>
    <n v="172"/>
    <n v="1720"/>
    <n v="46659.7"/>
    <s v="22/8, 1/9, 15/9, 17/9"/>
    <n v="10"/>
    <n v="0"/>
    <s v="DO18(4), DO24(4), DO27(2)"/>
    <m/>
  </r>
  <r>
    <d v="2020-07-14T00:00:00"/>
    <x v="2"/>
    <x v="1"/>
    <x v="6"/>
    <x v="0"/>
    <s v="Silicone Rubber (25Kg)"/>
    <x v="12"/>
    <s v="Ex"/>
    <n v="1"/>
    <s v="Pail"/>
    <n v="825"/>
    <n v="825"/>
    <n v="47484.7"/>
    <s v="14/7"/>
    <n v="1"/>
    <n v="0"/>
    <s v="DO07(1)"/>
    <m/>
  </r>
  <r>
    <d v="2020-07-22T00:00:00"/>
    <x v="2"/>
    <x v="1"/>
    <x v="7"/>
    <x v="2"/>
    <s v="RC Woven Roving E-800 1000mm (40Kg)"/>
    <x v="13"/>
    <s v="Ex"/>
    <n v="1"/>
    <s v="Roll"/>
    <n v="180"/>
    <n v="180"/>
    <n v="47664.7"/>
    <s v="22/7"/>
    <n v="1"/>
    <n v="0"/>
    <s v="DO08(1)"/>
    <m/>
  </r>
  <r>
    <d v="2020-08-12T00:00:00"/>
    <x v="3"/>
    <x v="1"/>
    <x v="8"/>
    <x v="2"/>
    <s v="RC Woven Roving E-800 1000mm (40Kg)"/>
    <x v="13"/>
    <s v="Ex"/>
    <n v="2"/>
    <s v="Roll"/>
    <n v="180"/>
    <n v="360"/>
    <n v="48024.7"/>
    <s v="13/8"/>
    <n v="2"/>
    <n v="0"/>
    <s v="DO14(2)"/>
    <m/>
  </r>
  <r>
    <d v="2020-08-13T00:00:00"/>
    <x v="3"/>
    <x v="1"/>
    <x v="9"/>
    <x v="0"/>
    <s v="RA Gelcoat GS-S ISO (20kg)"/>
    <x v="5"/>
    <s v="Delivered"/>
    <n v="4"/>
    <s v="Pail"/>
    <n v="176"/>
    <n v="704"/>
    <n v="48728.7"/>
    <s v="13/8"/>
    <n v="4"/>
    <n v="0"/>
    <s v="DO15(4)"/>
    <m/>
  </r>
  <r>
    <d v="2020-08-13T00:00:00"/>
    <x v="3"/>
    <x v="1"/>
    <x v="10"/>
    <x v="0"/>
    <s v="RA CSM 300 GSM 54Kg 96m(L) X 1860mm(W)"/>
    <x v="14"/>
    <s v="Delivered"/>
    <n v="4"/>
    <s v="Roll"/>
    <n v="253.69"/>
    <n v="1015.2"/>
    <n v="49743.899999999994"/>
    <s v="15/9, 21/9"/>
    <n v="4"/>
    <n v="0"/>
    <s v="DO27(3), DO29-1(1)"/>
    <s v="Chemrex delivered on 8/9/20"/>
  </r>
  <r>
    <d v="2020-08-13T00:00:00"/>
    <x v="3"/>
    <x v="1"/>
    <x v="11"/>
    <x v="0"/>
    <s v="RA Nor 3338W (220Kg)"/>
    <x v="9"/>
    <s v="Delivered"/>
    <n v="5"/>
    <s v="Drum"/>
    <n v="1155"/>
    <n v="5775"/>
    <n v="55518.899999999994"/>
    <s v="25/8, 25/8, 27/8"/>
    <n v="5"/>
    <n v="0"/>
    <s v="DO21(1), DO22(1), DO23(3)"/>
    <m/>
  </r>
  <r>
    <d v="2020-08-22T00:00:00"/>
    <x v="3"/>
    <x v="1"/>
    <x v="12"/>
    <x v="0"/>
    <s v="RA Gelcoat GS-H (20kg)"/>
    <x v="15"/>
    <s v="Ex"/>
    <n v="2"/>
    <s v="Pail"/>
    <n v="172"/>
    <n v="344"/>
    <n v="55862.899999999994"/>
    <s v="22/8,"/>
    <n v="2"/>
    <n v="0"/>
    <s v="DO18(2)"/>
    <m/>
  </r>
  <r>
    <d v="2020-08-27T00:00:00"/>
    <x v="3"/>
    <x v="1"/>
    <x v="13"/>
    <x v="0"/>
    <s v="RA Nor 3338W (220Kg)"/>
    <x v="9"/>
    <s v="Delivered"/>
    <n v="5"/>
    <s v="Drum"/>
    <n v="1155"/>
    <n v="5775"/>
    <n v="61637.899999999994"/>
    <s v="27/8, 17(15)/9"/>
    <n v="5"/>
    <n v="0"/>
    <s v="DO23(1), DO27(4)"/>
    <m/>
  </r>
  <r>
    <d v="2020-08-27T00:00:00"/>
    <x v="3"/>
    <x v="1"/>
    <x v="13"/>
    <x v="0"/>
    <s v="RA Bosny Wax (15Kg)"/>
    <x v="16"/>
    <s v="Delivered"/>
    <n v="1"/>
    <s v="Pail"/>
    <n v="345"/>
    <n v="345"/>
    <n v="61982.899999999994"/>
    <s v="27/8"/>
    <n v="1"/>
    <n v="0"/>
    <s v="DO23(1)"/>
    <m/>
  </r>
  <r>
    <d v="2020-08-27T00:00:00"/>
    <x v="3"/>
    <x v="1"/>
    <x v="14"/>
    <x v="0"/>
    <s v="RA Resin 3317AW (220Kg)"/>
    <x v="17"/>
    <s v="Delivered"/>
    <n v="10"/>
    <s v="Drum"/>
    <n v="1155"/>
    <n v="11550"/>
    <n v="73532.899999999994"/>
    <s v="1/9, 5/9, 17/9, 30/9, 5/10, 12/10, 21/10"/>
    <n v="10"/>
    <n v="0"/>
    <s v="DO24(2), DO26(1), DO28(1), DO33(1), DO34(3), DO37(1), DO43(1)"/>
    <m/>
  </r>
  <r>
    <d v="2020-09-02T00:00:00"/>
    <x v="4"/>
    <x v="1"/>
    <x v="15"/>
    <x v="0"/>
    <s v="Silicone Rubber (25Kg)"/>
    <x v="12"/>
    <s v="Ex"/>
    <n v="1"/>
    <s v="Pail"/>
    <n v="900"/>
    <n v="900"/>
    <n v="74432.899999999994"/>
    <s v="3/9"/>
    <n v="1"/>
    <n v="0"/>
    <s v="DO25(1)"/>
    <m/>
  </r>
  <r>
    <d v="2020-09-08T00:00:00"/>
    <x v="4"/>
    <x v="1"/>
    <x v="16"/>
    <x v="0"/>
    <s v="RA Gelcoat GP-H (20kg)"/>
    <x v="4"/>
    <s v="Delivered"/>
    <n v="20"/>
    <s v="Pail"/>
    <n v="168"/>
    <n v="3360"/>
    <n v="77792.899999999994"/>
    <s v="17/9, 21/9, 6/10"/>
    <n v="20"/>
    <n v="0"/>
    <s v="DO27(4), DO29-1(10), DO35(6)"/>
    <m/>
  </r>
  <r>
    <d v="2020-09-08T00:00:00"/>
    <x v="4"/>
    <x v="1"/>
    <x v="16"/>
    <x v="0"/>
    <s v="RA Butanox M50 (5kg)"/>
    <x v="7"/>
    <s v="Delivered"/>
    <n v="20"/>
    <s v="Bottle"/>
    <n v="77.5"/>
    <n v="1550"/>
    <n v="79342.899999999994"/>
    <s v="23/9, 5/10, 6/10, 14/10, 19/10, 21/10"/>
    <n v="20"/>
    <n v="0"/>
    <s v="DO30(1), DO34(6), DO35(2), DO38(8), DO42(1), DO44(2)"/>
    <m/>
  </r>
  <r>
    <d v="2020-09-17T00:00:00"/>
    <x v="4"/>
    <x v="1"/>
    <x v="17"/>
    <x v="0"/>
    <s v="RA Nor 3338W (220Kg)"/>
    <x v="9"/>
    <s v="Delivered"/>
    <n v="5"/>
    <s v="Drum"/>
    <n v="1122"/>
    <n v="5610"/>
    <n v="84952.9"/>
    <s v="17/9, 21/9"/>
    <n v="5"/>
    <n v="0"/>
    <s v="DO27(1). DO29-1(4)"/>
    <m/>
  </r>
  <r>
    <d v="2020-09-17T00:00:00"/>
    <x v="4"/>
    <x v="1"/>
    <x v="17"/>
    <x v="0"/>
    <s v="RA Accelerator (5Kg)"/>
    <x v="18"/>
    <s v="Delivered"/>
    <n v="1"/>
    <s v="Can"/>
    <n v="300"/>
    <n v="300"/>
    <n v="85252.9"/>
    <s v="17/9"/>
    <n v="1"/>
    <n v="0"/>
    <s v="DO27(1)"/>
    <m/>
  </r>
  <r>
    <d v="2020-09-23T00:00:00"/>
    <x v="4"/>
    <x v="1"/>
    <x v="18"/>
    <x v="0"/>
    <s v="RA Nor 3338W (220Kg)"/>
    <x v="9"/>
    <s v="Delivered"/>
    <n v="10"/>
    <s v="Drum"/>
    <n v="1111"/>
    <n v="11110"/>
    <n v="96362.9"/>
    <s v="22/9, 23/9, 26/9, 6/10"/>
    <n v="10"/>
    <n v="0"/>
    <s v="DO29-2(1), DO30(5), DO32(1), DO35(3)"/>
    <m/>
  </r>
  <r>
    <d v="2020-09-23T00:00:00"/>
    <x v="4"/>
    <x v="1"/>
    <x v="18"/>
    <x v="0"/>
    <s v="RA Nor 3338NW (220Kg)"/>
    <x v="11"/>
    <s v="Delivered"/>
    <n v="2"/>
    <s v="Drum"/>
    <n v="1111"/>
    <n v="2222"/>
    <n v="98584.9"/>
    <s v="22/9, 6/10"/>
    <n v="2"/>
    <n v="0"/>
    <s v="DO29-2(1), DO35(1)"/>
    <m/>
  </r>
  <r>
    <d v="2020-09-23T00:00:00"/>
    <x v="4"/>
    <x v="1"/>
    <x v="18"/>
    <x v="0"/>
    <s v="RA CSM 450 54kg 64m(L) X 1860mm(W)"/>
    <x v="6"/>
    <s v="Delivered"/>
    <n v="6"/>
    <s v="Roll"/>
    <n v="253.8"/>
    <n v="1522.8000000000002"/>
    <n v="100107.7"/>
    <s v="11/11, 5/12, 4/1, 9/2"/>
    <n v="6"/>
    <n v="0"/>
    <s v="DO51(1), DO64(2), DO69(2), DO80(1)"/>
    <m/>
  </r>
  <r>
    <d v="2020-09-23T00:00:00"/>
    <x v="4"/>
    <x v="1"/>
    <x v="18"/>
    <x v="0"/>
    <s v="RA CSM 300 54Kg 96m(L) X 1860mm(W)"/>
    <x v="14"/>
    <s v="Delivered"/>
    <n v="6"/>
    <s v="Roll"/>
    <n v="253.8"/>
    <n v="1522.8000000000002"/>
    <n v="101630.5"/>
    <s v="23/9, 6/10, 11/11, 4/1"/>
    <n v="6"/>
    <n v="0"/>
    <s v="DO29-2(1), DO35(3), DO51(1), DO69(1)"/>
    <m/>
  </r>
  <r>
    <d v="2020-09-23T00:00:00"/>
    <x v="4"/>
    <x v="1"/>
    <x v="18"/>
    <x v="0"/>
    <s v="RA Gelcoat GP-H (20kg)"/>
    <x v="4"/>
    <s v="Delivered"/>
    <n v="10"/>
    <s v="Pail"/>
    <n v="168"/>
    <n v="1680"/>
    <n v="103310.5"/>
    <s v="6/10, 19/10"/>
    <n v="10"/>
    <n v="0"/>
    <s v="D035(4), DO38(6)"/>
    <m/>
  </r>
  <r>
    <d v="2020-09-23T00:00:00"/>
    <x v="4"/>
    <x v="1"/>
    <x v="19"/>
    <x v="2"/>
    <s v="RC Woven Roving E-800 1000mm (40Kg)"/>
    <x v="13"/>
    <s v="Ex"/>
    <n v="6"/>
    <s v="Roll"/>
    <n v="192"/>
    <n v="1152"/>
    <n v="104462.5"/>
    <s v="23/9"/>
    <n v="6"/>
    <n v="0"/>
    <s v="DO31(6)"/>
    <m/>
  </r>
  <r>
    <d v="2020-10-01T00:00:00"/>
    <x v="5"/>
    <x v="1"/>
    <x v="20"/>
    <x v="0"/>
    <s v="RA CSM 450 37kg 79m(L) X 1040mm(W)"/>
    <x v="2"/>
    <s v="Delivered"/>
    <n v="20"/>
    <s v="Roll"/>
    <n v="173.9"/>
    <n v="3478"/>
    <n v="107940.5"/>
    <s v="31/10, 20/11, 21/11, 8/4, 29/11"/>
    <n v="20"/>
    <n v="0"/>
    <s v="DO46(1), DO54(8), DO55(2), DO98(6), DO166(3)"/>
    <m/>
  </r>
  <r>
    <d v="2020-10-01T00:00:00"/>
    <x v="5"/>
    <x v="1"/>
    <x v="20"/>
    <x v="0"/>
    <s v="RA CSM 450 TWL 54kg 64m(L) X 1860mm(W)"/>
    <x v="6"/>
    <s v="Delivered"/>
    <n v="20"/>
    <s v="Roll"/>
    <n v="253.8"/>
    <n v="5076"/>
    <n v="113016.5"/>
    <s v="18/1, 24/2, 8/3, 11/3, 23/3, 21/5, 13/11"/>
    <n v="20"/>
    <n v="0"/>
    <s v="DO73(1), DO83(3), DO86(7), DO88(2),  DO90(4), DO89(1), DO162(2)"/>
    <m/>
  </r>
  <r>
    <d v="2020-10-01T00:00:00"/>
    <x v="5"/>
    <x v="1"/>
    <x v="20"/>
    <x v="0"/>
    <s v="RA CSM 300 TWL 54Kg 96m(L) X 1860mm(W)"/>
    <x v="14"/>
    <s v="Delivered"/>
    <n v="15"/>
    <s v="Roll"/>
    <n v="253.8"/>
    <n v="3807"/>
    <n v="116823.5"/>
    <s v="30/12, 18/1, 8/3, 11/3, 23/3, 21/5, 1/6"/>
    <n v="15"/>
    <n v="0"/>
    <s v="DO67(1), DO73(1), DO86(5), DO88(2), DO90(4), DO89(1), DO109(1)"/>
    <m/>
  </r>
  <r>
    <d v="2020-10-05T00:00:00"/>
    <x v="5"/>
    <x v="1"/>
    <x v="21"/>
    <x v="0"/>
    <s v="RA Nor 3338W (220Kg)"/>
    <x v="9"/>
    <s v="Delivered"/>
    <n v="10"/>
    <s v="Drum"/>
    <n v="1111"/>
    <n v="11110"/>
    <n v="127933.5"/>
    <s v="8/10, 12/10, 21/10"/>
    <n v="10"/>
    <n v="0"/>
    <s v="DO35(2), DO36(6), DO44(2)"/>
    <m/>
  </r>
  <r>
    <d v="2020-10-09T00:00:00"/>
    <x v="5"/>
    <x v="1"/>
    <x v="22"/>
    <x v="0"/>
    <s v="RA Nor 3338NW (220Kg)"/>
    <x v="11"/>
    <s v="Delivered"/>
    <n v="5"/>
    <s v="Drum"/>
    <n v="1111"/>
    <n v="5555"/>
    <n v="133488.5"/>
    <s v="12/10, 26/12, 8/3, 11/3"/>
    <n v="5"/>
    <n v="0"/>
    <s v="DO36(1), DO66(2), DO86(1), DO88(1)"/>
    <m/>
  </r>
  <r>
    <d v="2020-10-09T00:00:00"/>
    <x v="5"/>
    <x v="1"/>
    <x v="22"/>
    <x v="0"/>
    <s v="RA Gelcoat GP-H (20kg)"/>
    <x v="4"/>
    <s v="Delivered"/>
    <n v="20"/>
    <s v="Pail"/>
    <n v="168"/>
    <n v="3360"/>
    <n v="136848.5"/>
    <s v="19/10, 9/11, 21/11, 28/11, 18/1, 3/2, 9/2, 23/2"/>
    <n v="20"/>
    <n v="0"/>
    <s v="DO38(1), DO48(1), DO55(2), DO60(2), DO61(5), DO73(2), DO77(1), DO80(2), DO84(4)"/>
    <m/>
  </r>
  <r>
    <d v="2020-10-09T00:00:00"/>
    <x v="5"/>
    <x v="1"/>
    <x v="22"/>
    <x v="0"/>
    <s v="RA Butanox M50 (5kg)"/>
    <x v="7"/>
    <s v="Delivered"/>
    <n v="20"/>
    <s v="Bottle"/>
    <n v="77.5"/>
    <n v="1550"/>
    <n v="138398.5"/>
    <s v="21/10, 26/10, 10/11, 10/11, 20/11, 21/11, 23/11, 30/11"/>
    <n v="20"/>
    <n v="0"/>
    <s v="DO44(2), DO45(6), DO49(4), DO50(1), DO54(2), DO55(1), DO58(2), DO62(2)"/>
    <m/>
  </r>
  <r>
    <d v="2020-10-09T00:00:00"/>
    <x v="5"/>
    <x v="1"/>
    <x v="23"/>
    <x v="0"/>
    <s v="RA Nor 3338W (220Kg)"/>
    <x v="9"/>
    <s v="Delivered"/>
    <n v="10"/>
    <s v="Drum"/>
    <n v="1111"/>
    <n v="11110"/>
    <n v="149508.5"/>
    <s v="21/10, 9/11, 20/11, 21/11, 27/11, 30/11"/>
    <n v="10"/>
    <n v="0"/>
    <s v="DO44(3), DO48(1), DO54(2), DO55(1), DO(59(1),  DO62(2)"/>
    <m/>
  </r>
  <r>
    <d v="2020-10-19T00:00:00"/>
    <x v="5"/>
    <x v="1"/>
    <x v="24"/>
    <x v="0"/>
    <s v="RA Gelcoat GS-H (20kg)"/>
    <x v="15"/>
    <s v="Delivered"/>
    <n v="2"/>
    <s v="Pail"/>
    <n v="168"/>
    <n v="336"/>
    <n v="149844.5"/>
    <s v="19/10"/>
    <n v="2"/>
    <n v="0"/>
    <s v="DO38(2)"/>
    <m/>
  </r>
  <r>
    <d v="2020-10-19T00:00:00"/>
    <x v="5"/>
    <x v="1"/>
    <x v="25"/>
    <x v="0"/>
    <s v="RA Miracle Gloss Wax No. 8 (311g/Can)"/>
    <x v="19"/>
    <s v="Delivered"/>
    <n v="4"/>
    <s v="Can"/>
    <n v="28"/>
    <n v="112"/>
    <n v="149956.5"/>
    <s v="23/11, 4/1, "/>
    <n v="4"/>
    <n v="0"/>
    <s v="DO58(1), DO69(3),"/>
    <m/>
  </r>
  <r>
    <d v="2020-10-19T00:00:00"/>
    <x v="5"/>
    <x v="1"/>
    <x v="26"/>
    <x v="0"/>
    <s v="RA Resin 3317AW (220Kg)"/>
    <x v="17"/>
    <s v="Delivered"/>
    <n v="10"/>
    <s v="Drum"/>
    <n v="1111"/>
    <n v="11110"/>
    <n v="161066.5"/>
    <s v="26/10, 31/10, 31/10, 10/11, 10/11, 18/11, 24/11, 23/11"/>
    <n v="10"/>
    <n v="0"/>
    <s v="DO45(3), DO46(1), DO47(1), DO49(1), DO50(1), DO52(1), DO56(1), DO58(1)"/>
    <m/>
  </r>
  <r>
    <d v="2020-10-19T00:00:00"/>
    <x v="5"/>
    <x v="1"/>
    <x v="27"/>
    <x v="0"/>
    <s v="RA Gelcoat GS-S ISO (20kg)"/>
    <x v="5"/>
    <s v="Delivered"/>
    <n v="4"/>
    <s v="Pail"/>
    <n v="176"/>
    <n v="704"/>
    <n v="161770.5"/>
    <s v="19/10"/>
    <n v="4"/>
    <n v="0"/>
    <s v="DO41(4)"/>
    <m/>
  </r>
  <r>
    <d v="2020-10-19T00:00:00"/>
    <x v="5"/>
    <x v="1"/>
    <x v="27"/>
    <x v="0"/>
    <s v="RA Pigment Super White (25Kg)"/>
    <x v="20"/>
    <s v="Delivered"/>
    <n v="1"/>
    <s v="Pail"/>
    <n v="450"/>
    <n v="450"/>
    <n v="162220.5"/>
    <s v="19/10"/>
    <n v="1"/>
    <n v="0"/>
    <s v="DO41(1)"/>
    <m/>
  </r>
  <r>
    <d v="2020-10-19T00:00:00"/>
    <x v="5"/>
    <x v="1"/>
    <x v="28"/>
    <x v="3"/>
    <s v="Brush 2 1.2&quot; (12Pc)"/>
    <x v="21"/>
    <s v="Ex"/>
    <n v="1"/>
    <s v="Box"/>
    <n v="54"/>
    <n v="54"/>
    <n v="162274.5"/>
    <s v="19/10"/>
    <n v="1"/>
    <n v="0"/>
    <s v="DO41(1)"/>
    <m/>
  </r>
  <r>
    <d v="2020-10-19T00:00:00"/>
    <x v="5"/>
    <x v="1"/>
    <x v="29"/>
    <x v="0"/>
    <s v="RA Pigment Black (5Kg)"/>
    <x v="22"/>
    <s v="Delivered"/>
    <n v="1"/>
    <s v="Tin"/>
    <n v="90"/>
    <n v="90"/>
    <n v="162364.5"/>
    <s v="9/11"/>
    <n v="1"/>
    <n v="0"/>
    <s v="DO48(1)"/>
    <m/>
  </r>
  <r>
    <d v="2020-11-10T00:00:00"/>
    <x v="6"/>
    <x v="1"/>
    <x v="30"/>
    <x v="0"/>
    <s v="RA Nor 3338W (220Kg)"/>
    <x v="9"/>
    <s v="Delivered"/>
    <n v="5"/>
    <s v="Drum"/>
    <n v="1199"/>
    <n v="5995"/>
    <n v="168359.5"/>
    <s v="30/11, 31/12"/>
    <n v="5"/>
    <n v="0"/>
    <s v="DO62(3), DO68(2)"/>
    <m/>
  </r>
  <r>
    <d v="2020-11-10T00:00:00"/>
    <x v="6"/>
    <x v="1"/>
    <x v="31"/>
    <x v="0"/>
    <s v="RA Butanox M50 (5kg)"/>
    <x v="7"/>
    <s v="Delivered"/>
    <n v="20"/>
    <s v="Bottle"/>
    <n v="77.5"/>
    <n v="1550"/>
    <n v="169909.5"/>
    <s v="30/12, 31/12, 4/1, 18/1, 27/1, 29/1, "/>
    <n v="20"/>
    <n v="0"/>
    <s v="DO67(6), DO68(2), DO69(1), DO73(2), DO74(6), DO76(3), "/>
    <s v="*gfrp-mepoxe(1-DO76(1)), ever(3) DO77(2), DO78(1). "/>
  </r>
  <r>
    <d v="2020-11-19T00:00:00"/>
    <x v="6"/>
    <x v="1"/>
    <x v="32"/>
    <x v="0"/>
    <s v="RA Nor 3338W (220Kg)"/>
    <x v="9"/>
    <s v="Delivered"/>
    <n v="5"/>
    <s v="Drum"/>
    <n v="1199"/>
    <n v="5995"/>
    <n v="175904.5"/>
    <s v="31/12, 18/1, 24/2"/>
    <n v="5"/>
    <n v="0"/>
    <s v="DO68(3), DO73(1), DO83(1)"/>
    <m/>
  </r>
  <r>
    <d v="2020-11-20T00:00:00"/>
    <x v="6"/>
    <x v="1"/>
    <x v="29"/>
    <x v="0"/>
    <s v="RA Bosny Wax (15Kg)"/>
    <x v="16"/>
    <s v="Delivered"/>
    <n v="1"/>
    <s v="Pail"/>
    <n v="345"/>
    <n v="345"/>
    <n v="176249.5"/>
    <s v="20/11"/>
    <n v="1"/>
    <n v="0"/>
    <s v="DO54(1)"/>
    <m/>
  </r>
  <r>
    <d v="2020-11-24T00:00:00"/>
    <x v="6"/>
    <x v="1"/>
    <x v="33"/>
    <x v="2"/>
    <s v="RC Woven Roving E-800 1000mm (40Kg)"/>
    <x v="13"/>
    <s v="Ex"/>
    <n v="10"/>
    <s v="Roll"/>
    <n v="212"/>
    <n v="2120"/>
    <n v="178369.5"/>
    <s v="24/11, 29/1, 3/2, 27/12, 8/1/22, 15/3/22, 19/4/22"/>
    <n v="10"/>
    <n v="0"/>
    <s v="DO53(1), DO75(1), DO77(1), DO177(1), DO185(1), DO218(, DO244(1)"/>
    <m/>
  </r>
  <r>
    <d v="2020-11-25T00:00:00"/>
    <x v="6"/>
    <x v="1"/>
    <x v="34"/>
    <x v="0"/>
    <s v="RA CSM 450 TWL 30kg 64m(L) X 1040mm(W)"/>
    <x v="23"/>
    <s v="Delivered"/>
    <n v="20"/>
    <s v="Roll"/>
    <n v="168"/>
    <n v="3360"/>
    <n v="181729.5"/>
    <s v="27/11, 30/11, 31/12, 29/1"/>
    <n v="20"/>
    <n v="0"/>
    <s v="DO59(4), DO62(4), DO68(8), DO75(4)"/>
    <m/>
  </r>
  <r>
    <d v="2020-11-25T00:00:00"/>
    <x v="6"/>
    <x v="1"/>
    <x v="34"/>
    <x v="0"/>
    <s v="Alkaline resistance Chopped Strand 24MM (18Kgs)"/>
    <x v="24"/>
    <s v="Delivered"/>
    <n v="3"/>
    <s v="Bags"/>
    <n v="297"/>
    <n v="891"/>
    <n v="182620.5"/>
    <s v="25/11"/>
    <n v="3"/>
    <n v="0"/>
    <s v="DO57(3)"/>
    <m/>
  </r>
  <r>
    <d v="2020-12-01T00:00:00"/>
    <x v="0"/>
    <x v="1"/>
    <x v="35"/>
    <x v="0"/>
    <s v="RA Resin 3317AW (220Kg)"/>
    <x v="17"/>
    <s v="Delivered"/>
    <n v="20"/>
    <s v="Bags"/>
    <n v="1452"/>
    <n v="29040"/>
    <n v="211660.5"/>
    <s v="15/12, 30/12, 27/1, 29/1, 3/2, 2/2, 9/2, 19/2, 10/3"/>
    <n v="20"/>
    <n v="0"/>
    <s v="DO65(1), DO67(3), DO74(3), DO75(1), DO76(5), DO77(2), DO78(1), DO80(1), DO82(1), DO87(2)"/>
    <m/>
  </r>
  <r>
    <d v="2020-12-02T00:00:00"/>
    <x v="0"/>
    <x v="1"/>
    <x v="36"/>
    <x v="0"/>
    <s v="RA Talcum Powder (25kg)"/>
    <x v="10"/>
    <s v="Delivered"/>
    <n v="40"/>
    <s v="Bags"/>
    <n v="25"/>
    <n v="1000"/>
    <n v="212660.5"/>
    <s v="30/12, 31/12, 9/1, 27/1, 29/1, 24/3"/>
    <n v="40"/>
    <n v="0"/>
    <s v="DO63(5), DO68(10), DO72(5). DO74(5), DO76(10), DO91(5)"/>
    <m/>
  </r>
  <r>
    <d v="2020-12-15T00:00:00"/>
    <x v="0"/>
    <x v="1"/>
    <x v="37"/>
    <x v="0"/>
    <s v="RA Gelcoat GS-S ISO (20kg)"/>
    <x v="5"/>
    <s v="Ex"/>
    <n v="2"/>
    <s v="Pail"/>
    <n v="204"/>
    <n v="408"/>
    <n v="213068.5"/>
    <s v="15/12"/>
    <n v="2"/>
    <n v="0"/>
    <s v="DO65(2)"/>
    <m/>
  </r>
  <r>
    <d v="2020-12-23T00:00:00"/>
    <x v="0"/>
    <x v="1"/>
    <x v="38"/>
    <x v="2"/>
    <s v="RA Mirror Glaze 0811"/>
    <x v="25"/>
    <s v="Ex"/>
    <n v="4"/>
    <s v="Can"/>
    <n v="35"/>
    <n v="140"/>
    <n v="213208.5"/>
    <s v="19/10"/>
    <n v="4"/>
    <n v="0"/>
    <s v="DO39(4)"/>
    <m/>
  </r>
  <r>
    <d v="2021-01-06T00:00:00"/>
    <x v="7"/>
    <x v="2"/>
    <x v="39"/>
    <x v="0"/>
    <s v="RA Tooling Gelcoat RP92 (22Kg)"/>
    <x v="26"/>
    <s v="Delivered"/>
    <n v="2"/>
    <s v="Pail"/>
    <n v="594"/>
    <n v="1188"/>
    <n v="214396.5"/>
    <s v="6/1"/>
    <n v="2"/>
    <n v="0"/>
    <s v="DO69(2)"/>
    <m/>
  </r>
  <r>
    <d v="2021-01-06T00:00:00"/>
    <x v="7"/>
    <x v="2"/>
    <x v="40"/>
    <x v="0"/>
    <s v="Vinlyeter Resin (200Kg)"/>
    <x v="27"/>
    <s v="Delivered"/>
    <n v="2"/>
    <s v="Drum"/>
    <n v="2600"/>
    <n v="5200"/>
    <n v="219596.5"/>
    <s v="6/2"/>
    <n v="2"/>
    <n v="0"/>
    <s v="DO69(2)"/>
    <m/>
  </r>
  <r>
    <d v="2021-01-06T00:00:00"/>
    <x v="7"/>
    <x v="2"/>
    <x v="40"/>
    <x v="0"/>
    <s v="RA Pigment H 2006 Dark Grey (5Kg)"/>
    <x v="28"/>
    <s v="Delivered"/>
    <n v="1"/>
    <s v="Tin"/>
    <n v="110"/>
    <n v="110"/>
    <n v="219706.5"/>
    <s v="6/3"/>
    <n v="1"/>
    <n v="0"/>
    <s v="DO69(1)"/>
    <m/>
  </r>
  <r>
    <d v="2021-01-06T00:00:00"/>
    <x v="7"/>
    <x v="2"/>
    <x v="40"/>
    <x v="0"/>
    <s v="RA Deawa DW-5213"/>
    <x v="29"/>
    <s v="Delivered"/>
    <n v="1"/>
    <s v="Can"/>
    <n v="290"/>
    <n v="290"/>
    <n v="219996.5"/>
    <s v="6/4"/>
    <n v="1"/>
    <n v="0"/>
    <s v="DO69(1)"/>
    <m/>
  </r>
  <r>
    <d v="2021-01-06T00:00:00"/>
    <x v="7"/>
    <x v="2"/>
    <x v="40"/>
    <x v="0"/>
    <s v="RA Pigment H 7001 Bright Orange (5Kg)"/>
    <x v="30"/>
    <s v="Delivered"/>
    <n v="1"/>
    <s v="Tin"/>
    <n v="150"/>
    <n v="150"/>
    <n v="220146.5"/>
    <s v="6/5"/>
    <n v="1"/>
    <n v="0"/>
    <s v="DO69(1)"/>
    <m/>
  </r>
  <r>
    <d v="2021-01-06T00:00:00"/>
    <x v="7"/>
    <x v="2"/>
    <x v="40"/>
    <x v="0"/>
    <s v="RA Steel Roller 3&quot;"/>
    <x v="31"/>
    <s v="Delivered"/>
    <n v="3"/>
    <s v="Pc"/>
    <n v="38"/>
    <n v="114"/>
    <n v="220260.5"/>
    <s v="6/6"/>
    <n v="3"/>
    <n v="0"/>
    <s v="DO69(3)"/>
    <m/>
  </r>
  <r>
    <d v="2021-01-06T00:00:00"/>
    <x v="7"/>
    <x v="2"/>
    <x v="40"/>
    <x v="0"/>
    <s v="RA Aerosil (Silica Fume) (10Kg)"/>
    <x v="32"/>
    <s v="Delivered"/>
    <n v="1"/>
    <s v="Bag"/>
    <n v="290"/>
    <n v="290"/>
    <n v="220550.5"/>
    <s v="6/7"/>
    <n v="1"/>
    <n v="0"/>
    <s v="DO69(1)"/>
    <m/>
  </r>
  <r>
    <d v="2021-01-06T00:00:00"/>
    <x v="7"/>
    <x v="2"/>
    <x v="40"/>
    <x v="0"/>
    <s v="RA Accelerator (4Kgs)"/>
    <x v="33"/>
    <s v="Delivered"/>
    <n v="1"/>
    <s v="Can"/>
    <n v="240"/>
    <n v="240"/>
    <n v="220790.5"/>
    <s v="6/8"/>
    <n v="1"/>
    <n v="0"/>
    <s v="DO69(1)"/>
    <m/>
  </r>
  <r>
    <d v="2021-01-06T00:00:00"/>
    <x v="7"/>
    <x v="2"/>
    <x v="41"/>
    <x v="0"/>
    <s v="RA CSM 450 TWL 30kg 64m(L) X 1040mm(W)"/>
    <x v="23"/>
    <s v="Delivered"/>
    <n v="32"/>
    <s v="Roll"/>
    <n v="186"/>
    <n v="5952"/>
    <n v="226742.5"/>
    <s v="29/1, 3/2, 17/2, 27/2, 25/3, 8/4, 29/4, 1/9, 14/9"/>
    <n v="32"/>
    <n v="0"/>
    <s v="DO76(8), DO77(5), DO81(1), DO85(1), DO92(5), DO97(1), DO102(5), DO112(1), DO118(5)"/>
    <m/>
  </r>
  <r>
    <d v="2021-01-07T00:00:00"/>
    <x v="7"/>
    <x v="2"/>
    <x v="42"/>
    <x v="0"/>
    <s v="RA Styrene Monomer (6Kg)"/>
    <x v="34"/>
    <s v="Ex"/>
    <n v="16"/>
    <s v="kg/Pail"/>
    <n v="120"/>
    <n v="120"/>
    <n v="226862.5"/>
    <s v="11/1, 26/10"/>
    <n v="11"/>
    <n v="5"/>
    <s v="DO70(6kg), DO143(5kg)"/>
    <s v="*Kg"/>
  </r>
  <r>
    <d v="2021-01-07T00:00:00"/>
    <x v="7"/>
    <x v="2"/>
    <x v="42"/>
    <x v="0"/>
    <s v="RA Steel Roller 4&quot;"/>
    <x v="35"/>
    <s v="Ex"/>
    <n v="1"/>
    <s v="Pc"/>
    <n v="39"/>
    <n v="39"/>
    <n v="226901.5"/>
    <s v="8/1"/>
    <n v="1"/>
    <n v="0"/>
    <s v="DO71(1)"/>
    <m/>
  </r>
  <r>
    <d v="2021-01-18T00:00:00"/>
    <x v="7"/>
    <x v="2"/>
    <x v="43"/>
    <x v="0"/>
    <s v="RA Miracle Gloss Wax No. 8 (311g/Can)"/>
    <x v="19"/>
    <s v="Delivered"/>
    <n v="12"/>
    <s v="Can"/>
    <n v="28"/>
    <n v="336"/>
    <n v="227237.5"/>
    <s v="8/1, 18/2, 3/2, 21/5, 14/9, 19/2/22"/>
    <n v="12"/>
    <n v="0"/>
    <s v="DO72(2), DO73(2), DO77(4), DO89(2), DO117(1), DO202(1)"/>
    <m/>
  </r>
  <r>
    <d v="2021-01-18T00:00:00"/>
    <x v="7"/>
    <x v="2"/>
    <x v="43"/>
    <x v="0"/>
    <s v="RA Pigment H 2006 Dark Grey (5Kg)"/>
    <x v="28"/>
    <s v="Delivered"/>
    <n v="1"/>
    <s v="Tin"/>
    <n v="110"/>
    <n v="110"/>
    <n v="227347.5"/>
    <s v="18/1"/>
    <n v="1"/>
    <n v="0"/>
    <s v="DO71(1)"/>
    <m/>
  </r>
  <r>
    <d v="2021-01-22T00:00:00"/>
    <x v="7"/>
    <x v="2"/>
    <x v="44"/>
    <x v="0"/>
    <s v="RA Deawa DW-5213"/>
    <x v="29"/>
    <s v="Ex"/>
    <n v="1"/>
    <s v="Can"/>
    <n v="290"/>
    <n v="290"/>
    <n v="227637.5"/>
    <s v="9/2"/>
    <n v="1"/>
    <n v="0"/>
    <s v="DO80(1)"/>
    <m/>
  </r>
  <r>
    <d v="2021-02-04T00:00:00"/>
    <x v="8"/>
    <x v="2"/>
    <x v="45"/>
    <x v="0"/>
    <s v="RA Talcum Powder (25kg)"/>
    <x v="10"/>
    <s v="Delivered"/>
    <n v="40"/>
    <s v="Bags"/>
    <n v="30"/>
    <n v="1200"/>
    <n v="228837.5"/>
    <s v="1/4, 8/4, 29/4, 21/5, 21/5, 1/6"/>
    <n v="40"/>
    <n v="0"/>
    <s v="DO95(5), DO98(10), DO102(10), DO106(5), DO89(1), DO111(9)"/>
    <m/>
  </r>
  <r>
    <d v="2021-02-04T00:00:00"/>
    <x v="8"/>
    <x v="2"/>
    <x v="45"/>
    <x v="0"/>
    <s v="RA Resin 3317AW (220Kg)"/>
    <x v="17"/>
    <s v="Delivered"/>
    <n v="5"/>
    <s v="Drum"/>
    <n v="1408"/>
    <n v="7040"/>
    <n v="235877.5"/>
    <s v="1/4, 6/5, 7/5"/>
    <n v="5"/>
    <n v="0"/>
    <s v="DO95(3), DO103(1), DO104(1)"/>
    <m/>
  </r>
  <r>
    <d v="2021-02-04T00:00:00"/>
    <x v="8"/>
    <x v="2"/>
    <x v="45"/>
    <x v="0"/>
    <s v="RA Nor 3338W (220Kg)"/>
    <x v="9"/>
    <s v="Delivered"/>
    <n v="5"/>
    <s v="Drum"/>
    <n v="1408"/>
    <n v="7040"/>
    <n v="242917.5"/>
    <s v="24/2, 27/2"/>
    <n v="5"/>
    <n v="0"/>
    <s v="DO83(4), DO85(1)"/>
    <m/>
  </r>
  <r>
    <d v="2021-02-04T00:00:00"/>
    <x v="8"/>
    <x v="2"/>
    <x v="45"/>
    <x v="0"/>
    <s v="RA Butanox M50 (5kg)"/>
    <x v="7"/>
    <s v="Delivered"/>
    <n v="20"/>
    <s v="Bottle"/>
    <n v="80"/>
    <n v="1600"/>
    <n v="244517.5"/>
    <s v="3/2, 2/2, 9/2, 22/2, 24/2, 27/2, 23/3, 24/3, 21/5"/>
    <n v="20"/>
    <n v="0"/>
    <s v="DO77(2), DO78(1), DO80(1), DO83(4), DO84(1), DO85(1), DO90(4), DO92(4), DO89(1)"/>
    <s v="*Everkimia(3) DO77(2), DO78(1)"/>
  </r>
  <r>
    <d v="2021-02-04T00:00:00"/>
    <x v="8"/>
    <x v="2"/>
    <x v="45"/>
    <x v="0"/>
    <s v="RA Mepoxe M (5kg)"/>
    <x v="36"/>
    <s v="Delivered"/>
    <n v="1"/>
    <s v="Bottle"/>
    <n v="55"/>
    <n v="55"/>
    <n v="244572.5"/>
    <s v="29/1"/>
    <n v="1"/>
    <n v="0"/>
    <s v="DO76(1), "/>
    <s v="*gfrp-mepoxe(1) DO76(1)"/>
  </r>
  <r>
    <d v="2021-02-04T00:00:00"/>
    <x v="8"/>
    <x v="2"/>
    <x v="46"/>
    <x v="0"/>
    <s v="RA CSM 450 TWL 30kg 64m(L) X 1040mm(W)"/>
    <x v="23"/>
    <s v="Delivered"/>
    <n v="20"/>
    <s v="Roll"/>
    <n v="192"/>
    <n v="3840"/>
    <n v="248412.5"/>
    <s v="7/5, 14/9, 21/9, 26/10"/>
    <n v="20"/>
    <n v="0"/>
    <s v="DO104(4), DO118(5), DO119(10), DO144(1)"/>
    <m/>
  </r>
  <r>
    <d v="2021-02-04T00:00:00"/>
    <x v="8"/>
    <x v="2"/>
    <x v="46"/>
    <x v="0"/>
    <s v="RA Pigment Super White (5Kg)"/>
    <x v="37"/>
    <s v="Delivered"/>
    <n v="1"/>
    <s v="Bottle"/>
    <n v="90"/>
    <n v="90"/>
    <n v="248502.5"/>
    <s v="6/2"/>
    <n v="1"/>
    <n v="0"/>
    <s v="DO79(1)"/>
    <m/>
  </r>
  <r>
    <d v="2021-02-04T00:00:00"/>
    <x v="8"/>
    <x v="2"/>
    <x v="46"/>
    <x v="0"/>
    <s v="RA Miracle Gloss Wax No. 8 (311g/Can)"/>
    <x v="19"/>
    <s v="Delivered"/>
    <n v="12"/>
    <s v="Can"/>
    <n v="28"/>
    <n v="336"/>
    <n v="248838.5"/>
    <s v="24/3, 1/4, 21/5, 10/1/22, 8/4/22, 16/5/22, 15/8/22"/>
    <n v="12"/>
    <n v="0"/>
    <s v="DO91(2), DO96(2), DO106(2), DO186(2), DO233(2), DO266(1), DO313(1)"/>
    <m/>
  </r>
  <r>
    <d v="2021-02-08T00:00:00"/>
    <x v="8"/>
    <x v="2"/>
    <x v="47"/>
    <x v="0"/>
    <s v="RA Pigment H 2006 Dark Grey (5Kg)"/>
    <x v="28"/>
    <s v="Delivered"/>
    <n v="1"/>
    <s v="Tin"/>
    <n v="110"/>
    <n v="110"/>
    <n v="248948.5"/>
    <s v="9/2"/>
    <n v="1"/>
    <n v="0"/>
    <s v="DO80(1)"/>
    <m/>
  </r>
  <r>
    <d v="2021-02-22T00:00:00"/>
    <x v="8"/>
    <x v="2"/>
    <x v="48"/>
    <x v="3"/>
    <s v="Brush 3&quot; (12Pc)"/>
    <x v="38"/>
    <s v="Ex"/>
    <n v="3"/>
    <s v="Box"/>
    <n v="54"/>
    <n v="162"/>
    <n v="249110.5"/>
    <s v="23/2"/>
    <n v="3"/>
    <n v="0"/>
    <s v="DO84(3)"/>
    <m/>
  </r>
  <r>
    <d v="2021-02-24T00:00:00"/>
    <x v="8"/>
    <x v="2"/>
    <x v="49"/>
    <x v="0"/>
    <s v="RA Accelerator (4Kgs)"/>
    <x v="33"/>
    <s v="Ex"/>
    <n v="1"/>
    <s v="Can"/>
    <n v="240"/>
    <n v="240"/>
    <n v="249350.5"/>
    <s v="24/2"/>
    <n v="1"/>
    <n v="0"/>
    <s v="DO83(1)"/>
    <m/>
  </r>
  <r>
    <d v="2021-02-26T00:00:00"/>
    <x v="8"/>
    <x v="2"/>
    <x v="50"/>
    <x v="0"/>
    <s v="RA Nor 3338W (220Kg)"/>
    <x v="9"/>
    <s v="Delivered"/>
    <n v="10"/>
    <s v="Drum"/>
    <n v="1408"/>
    <n v="14080"/>
    <n v="263430.5"/>
    <s v="8/3, 10/3, 11/3"/>
    <n v="10"/>
    <n v="0"/>
    <s v="DO86(6), DO87(2), DO88(2)"/>
    <m/>
  </r>
  <r>
    <d v="2021-02-26T00:00:00"/>
    <x v="8"/>
    <x v="2"/>
    <x v="50"/>
    <x v="0"/>
    <s v="RA Gelcoat GP-H (20kg)"/>
    <x v="4"/>
    <s v="Delivered"/>
    <n v="11"/>
    <s v="Pail"/>
    <n v="198"/>
    <n v="2178"/>
    <n v="265608.5"/>
    <s v="Goods return, due to old date stock"/>
    <n v="11"/>
    <n v="0"/>
    <s v="CN 00000578, dd 24/3/21"/>
    <m/>
  </r>
  <r>
    <d v="2021-02-26T00:00:00"/>
    <x v="8"/>
    <x v="2"/>
    <x v="51"/>
    <x v="0"/>
    <s v="RA Nor 3338W (220Kg)"/>
    <x v="9"/>
    <s v="Delivered"/>
    <n v="10"/>
    <s v="Drum"/>
    <n v="1408"/>
    <n v="14080"/>
    <n v="279688.5"/>
    <s v="23/3, 25/3"/>
    <n v="10"/>
    <n v="0"/>
    <s v="DO90(5), , DO91(5)"/>
    <m/>
  </r>
  <r>
    <d v="2021-03-08T00:00:00"/>
    <x v="9"/>
    <x v="2"/>
    <x v="52"/>
    <x v="4"/>
    <s v="RD Paint Brush 3&quot;(12Pc/Ctr)"/>
    <x v="39"/>
    <s v="Ex"/>
    <n v="20"/>
    <s v="Box"/>
    <n v="42"/>
    <n v="840"/>
    <n v="280528.5"/>
    <s v="8/4, 21/5, 3/11, 11/1/22, 24/9/22, 15/10/22"/>
    <n v="20"/>
    <n v="0"/>
    <s v="DO98(4), DO89(1),  DO154(4), DO187(4), DO332(4), DO347(3)"/>
    <m/>
  </r>
  <r>
    <d v="2021-03-22T00:00:00"/>
    <x v="9"/>
    <x v="2"/>
    <x v="53"/>
    <x v="5"/>
    <s v="RA Gelcoat GP-H (20kg)"/>
    <x v="4"/>
    <s v="Ex"/>
    <n v="5"/>
    <s v="Pail"/>
    <n v="210"/>
    <n v="1050"/>
    <n v="281578.5"/>
    <s v="25/3, 21/5, 1/6"/>
    <n v="5"/>
    <n v="0"/>
    <s v="DO93(1), DO89(1),  DO110(3)"/>
    <m/>
  </r>
  <r>
    <d v="2021-03-23T00:00:00"/>
    <x v="9"/>
    <x v="2"/>
    <x v="54"/>
    <x v="4"/>
    <s v="RD Iron Roller 4&quot;"/>
    <x v="40"/>
    <s v="Ex"/>
    <n v="2"/>
    <s v="Pc"/>
    <n v="50"/>
    <n v="100"/>
    <n v="281678.5"/>
    <s v="21/5, 21/4/22"/>
    <n v="2"/>
    <n v="0"/>
    <s v="DO89(1), DO247(1)"/>
    <m/>
  </r>
  <r>
    <d v="2021-03-23T00:00:00"/>
    <x v="9"/>
    <x v="2"/>
    <x v="54"/>
    <x v="4"/>
    <s v="RD Iron Roller 3&quot;"/>
    <x v="41"/>
    <s v="Ex"/>
    <n v="2"/>
    <s v="Pc"/>
    <n v="50"/>
    <n v="100"/>
    <n v="281778.5"/>
    <s v="21/5"/>
    <n v="2"/>
    <n v="0"/>
    <s v="DO89(2)"/>
    <m/>
  </r>
  <r>
    <d v="2021-03-23T00:00:00"/>
    <x v="9"/>
    <x v="2"/>
    <x v="55"/>
    <x v="6"/>
    <s v="RE Frekote 770NC (1 Gallon)"/>
    <x v="42"/>
    <s v="Ex"/>
    <n v="4"/>
    <s v="Tin"/>
    <n v="305"/>
    <n v="1220"/>
    <n v="282998.5"/>
    <s v="21/5, 2/10, 28/10"/>
    <n v="4"/>
    <n v="0"/>
    <s v="DO89(1), DO125(2), DO148(1)"/>
    <m/>
  </r>
  <r>
    <d v="2021-03-24T00:00:00"/>
    <x v="9"/>
    <x v="2"/>
    <x v="56"/>
    <x v="0"/>
    <s v="RA Pigment H 2006 Dark Grey (5Kg)"/>
    <x v="28"/>
    <s v="Ex"/>
    <n v="2"/>
    <s v="Tin"/>
    <n v="110"/>
    <n v="220"/>
    <n v="283218.5"/>
    <s v="13/11"/>
    <n v="2"/>
    <n v="0"/>
    <s v="DO161(2)"/>
    <m/>
  </r>
  <r>
    <d v="2021-03-24T00:00:00"/>
    <x v="9"/>
    <x v="2"/>
    <x v="57"/>
    <x v="0"/>
    <s v="RA Butanox M50 (5kg)"/>
    <x v="7"/>
    <s v="Ex"/>
    <n v="16"/>
    <s v="Bottle"/>
    <n v="80"/>
    <n v="1280"/>
    <n v="284498.5"/>
    <s v="1/4, 8/4, 8/4, 29/4, 21/5"/>
    <n v="16"/>
    <n v="0"/>
    <s v="D095(5), DO97(1), DO98(2), DO102(4), DO106(4)"/>
    <m/>
  </r>
  <r>
    <d v="2021-03-24T00:00:00"/>
    <x v="9"/>
    <x v="2"/>
    <x v="57"/>
    <x v="0"/>
    <s v="RA Mepoxe M (5kg)"/>
    <x v="36"/>
    <s v="Ex"/>
    <n v="8"/>
    <s v="Bottle"/>
    <n v="60"/>
    <n v="480"/>
    <n v="284978.5"/>
    <s v="14/9, 21/9, 27/9"/>
    <n v="8"/>
    <n v="0"/>
    <s v="DO118(4), DO119(3), DO121(1)"/>
    <m/>
  </r>
  <r>
    <d v="2021-03-29T00:00:00"/>
    <x v="9"/>
    <x v="2"/>
    <x v="58"/>
    <x v="0"/>
    <s v="RA CSM 300 TWL 54Kg 96m(L) X 1860mm(W)"/>
    <x v="14"/>
    <s v="Delivered"/>
    <n v="16"/>
    <s v="Roll"/>
    <n v="394.2"/>
    <n v="6307.2"/>
    <n v="291285.7"/>
    <s v="1/4, 3/5, 1/6, 1/9, 14/9, 10/12, 21/12"/>
    <n v="16"/>
    <n v="0"/>
    <s v="DO95(1), DO101(4), DO109(4), DO115(4), DO117(1), DO168(1), DO174(1)"/>
    <m/>
  </r>
  <r>
    <d v="2021-03-29T00:00:00"/>
    <x v="9"/>
    <x v="2"/>
    <x v="59"/>
    <x v="0"/>
    <s v="RA CSM 450 TWL 30kg 64m(L) X 1040mm(W)"/>
    <x v="23"/>
    <s v="Delivered"/>
    <n v="5"/>
    <s v="Roll"/>
    <n v="219"/>
    <n v="1095"/>
    <n v="292380.7"/>
    <s v="15/10, 23/10, 26/10"/>
    <n v="5"/>
    <n v="0"/>
    <s v="DO136(2), DO142(2), DO145(1)"/>
    <m/>
  </r>
  <r>
    <d v="2021-03-30T00:00:00"/>
    <x v="9"/>
    <x v="2"/>
    <x v="60"/>
    <x v="0"/>
    <s v="RA Resin 9539NW (225Kg)"/>
    <x v="43"/>
    <s v="Ex"/>
    <n v="2"/>
    <s v="Drum"/>
    <n v="1620"/>
    <n v="3240"/>
    <n v="295620.7"/>
    <s v="30/2"/>
    <n v="2"/>
    <n v="0"/>
    <s v="DO94(2)"/>
    <m/>
  </r>
  <r>
    <d v="2021-04-01T00:00:00"/>
    <x v="10"/>
    <x v="2"/>
    <x v="61"/>
    <x v="0"/>
    <s v="RA Nor 3338W (220Kg)"/>
    <x v="9"/>
    <s v="Delivered"/>
    <n v="5"/>
    <s v="Drum"/>
    <n v="1650"/>
    <n v="8250"/>
    <n v="303870.7"/>
    <s v="8/4"/>
    <n v="5"/>
    <n v="0"/>
    <s v="DO98(5)"/>
    <m/>
  </r>
  <r>
    <d v="2021-04-05T00:00:00"/>
    <x v="10"/>
    <x v="2"/>
    <x v="62"/>
    <x v="0"/>
    <s v="RA Nor 3338W (220Kg)"/>
    <x v="9"/>
    <s v="Delivered"/>
    <n v="10"/>
    <s v="Drum"/>
    <n v="1650"/>
    <n v="16500"/>
    <n v="320370.7"/>
    <s v="8/4, 27/4, 3/5, 29/4"/>
    <n v="10"/>
    <n v="0"/>
    <s v="DO97(1), DO100(2), DO101(5), DO102(2)"/>
    <m/>
  </r>
  <r>
    <d v="2021-04-05T00:00:00"/>
    <x v="10"/>
    <x v="2"/>
    <x v="62"/>
    <x v="0"/>
    <s v="RA Gelcoat GS-S ISO (20Kg)"/>
    <x v="5"/>
    <s v="Delivered"/>
    <n v="2"/>
    <s v="Pail"/>
    <n v="230"/>
    <n v="460"/>
    <n v="320830.7"/>
    <s v="9/4"/>
    <n v="2"/>
    <n v="0"/>
    <s v="DO99(2)"/>
    <m/>
  </r>
  <r>
    <d v="2021-04-06T00:00:00"/>
    <x v="10"/>
    <x v="2"/>
    <x v="63"/>
    <x v="0"/>
    <s v="RA Gelcoat GP-H (20Kg)"/>
    <x v="4"/>
    <s v="Delivered"/>
    <n v="5"/>
    <s v="Pail"/>
    <n v="222"/>
    <n v="1110"/>
    <n v="321940.7"/>
    <s v="1/10, 23/10"/>
    <n v="5"/>
    <n v="0"/>
    <s v="DO124(1), DO142(4)"/>
    <m/>
  </r>
  <r>
    <s v="8/4/2021"/>
    <x v="10"/>
    <x v="2"/>
    <x v="64"/>
    <x v="7"/>
    <s v="RF Resin 3317AW (220Kg)"/>
    <x v="44"/>
    <s v="Ex"/>
    <n v="6"/>
    <s v="Drum"/>
    <n v="1672"/>
    <n v="10032"/>
    <n v="331972.7"/>
    <s v="19/5, 21/5, 21/5, 1/9"/>
    <n v="6"/>
    <n v="0"/>
    <s v="DO105(1), DO106(3), DO89(1), DO113(1)"/>
    <m/>
  </r>
  <r>
    <s v="8/4/2021"/>
    <x v="10"/>
    <x v="2"/>
    <x v="64"/>
    <x v="7"/>
    <s v="RF Nor 3338NW (220Kg)"/>
    <x v="45"/>
    <s v="Ex"/>
    <n v="2"/>
    <s v="Drum"/>
    <n v="1672"/>
    <n v="3344"/>
    <n v="335316.7"/>
    <s v="27/4, 3/5"/>
    <n v="2"/>
    <n v="0"/>
    <s v="DO100(1), DO101(1)"/>
    <m/>
  </r>
  <r>
    <d v="2021-04-08T00:00:00"/>
    <x v="10"/>
    <x v="2"/>
    <x v="65"/>
    <x v="0"/>
    <s v="RA Aerosil (Silica Fume) (10Kg)"/>
    <x v="32"/>
    <s v="Delivered"/>
    <n v="2"/>
    <s v="Bag"/>
    <n v="290"/>
    <n v="580"/>
    <n v="335896.7"/>
    <s v="8/4"/>
    <n v="2"/>
    <n v="0"/>
    <s v="DO98(2)"/>
    <s v="*G-FRP"/>
  </r>
  <r>
    <d v="2021-04-20T00:00:00"/>
    <x v="10"/>
    <x v="2"/>
    <x v="66"/>
    <x v="0"/>
    <s v="RA Nor 3338W (220Kg)"/>
    <x v="9"/>
    <s v="Delivered"/>
    <n v="6"/>
    <s v="Drum"/>
    <n v="1650"/>
    <n v="9900"/>
    <n v="345796.7"/>
    <s v="29/4, 1/6"/>
    <n v="6"/>
    <n v="0"/>
    <s v="DO102(3), DO108(3)"/>
    <m/>
  </r>
  <r>
    <d v="2021-04-20T00:00:00"/>
    <x v="10"/>
    <x v="2"/>
    <x v="66"/>
    <x v="0"/>
    <s v="RA Talcum Powder (25kg)"/>
    <x v="10"/>
    <s v="Delivered"/>
    <n v="80"/>
    <s v="Bags"/>
    <n v="30"/>
    <n v="2400"/>
    <n v="348196.7"/>
    <s v="1/6, 14/9, 14/9, 2/10, 5/10, 7/10, 11/10, 15/10, 18/10, 26/10, 30/10, 2/11, 3/11, 3/11, 6/11, 11/11"/>
    <n v="80"/>
    <n v="0"/>
    <s v="DO111(1), DO117(4), DO118(10), DO125(3), DO127(5), DO128(6), DO131(2), DO136(1), DO139(7), DO144(6), DO149(10), DO151(6), DO153(5), DO154(5), DO155(5), DO159(4)"/>
    <m/>
  </r>
  <r>
    <s v="19/4.2021"/>
    <x v="10"/>
    <x v="2"/>
    <x v="67"/>
    <x v="7"/>
    <s v="RF Nor 3338W (220Kg)"/>
    <x v="46"/>
    <s v="Ex"/>
    <n v="2"/>
    <s v="Drum"/>
    <n v="1628"/>
    <n v="3256"/>
    <n v="351452.7"/>
    <s v="1/6, 7/9"/>
    <n v="2"/>
    <n v="0"/>
    <s v="DO108(1), DO116(1)"/>
    <m/>
  </r>
  <r>
    <d v="2021-04-27T00:00:00"/>
    <x v="10"/>
    <x v="2"/>
    <x v="68"/>
    <x v="8"/>
    <s v="RG CSM 450 CQ 54kg 64m(L) X 1860mm(W)"/>
    <x v="47"/>
    <s v="Ex"/>
    <n v="10"/>
    <s v="Roll"/>
    <n v="405"/>
    <n v="4050"/>
    <n v="355502.7"/>
    <s v="27/4, 3/5, 2/10,"/>
    <n v="10"/>
    <n v="0"/>
    <s v="DO100(5), DO101(4), DO125(1) "/>
    <m/>
  </r>
  <r>
    <d v="2021-04-28T00:00:00"/>
    <x v="10"/>
    <x v="2"/>
    <x v="69"/>
    <x v="9"/>
    <s v="RH Bosny Wax (15Kg)"/>
    <x v="48"/>
    <s v="Ex"/>
    <n v="2"/>
    <s v="Pail"/>
    <n v="320"/>
    <n v="640"/>
    <n v="356142.7"/>
    <s v="29/4, 17/2/22"/>
    <n v="2"/>
    <n v="0"/>
    <s v="DO102(1), DO200(1)"/>
    <m/>
  </r>
  <r>
    <d v="2021-05-03T00:00:00"/>
    <x v="11"/>
    <x v="2"/>
    <x v="70"/>
    <x v="0"/>
    <s v="RA Nor 3338W (220Kg)"/>
    <x v="9"/>
    <s v="Delivered"/>
    <n v="20"/>
    <s v="Drum"/>
    <n v="1650"/>
    <n v="33000"/>
    <n v="389142.7"/>
    <s v="7/9, 14/9, 27/9, 2/10, 5/10"/>
    <n v="20"/>
    <n v="0"/>
    <s v="DO116(1), DO118(6), DO121(5), DO125(2), DO127(6)"/>
    <m/>
  </r>
  <r>
    <d v="2021-05-03T00:00:00"/>
    <x v="11"/>
    <x v="2"/>
    <x v="70"/>
    <x v="0"/>
    <s v="RA Butanox M50 (5kg)"/>
    <x v="7"/>
    <s v="Delivered"/>
    <n v="12"/>
    <s v="Bottle"/>
    <n v="80"/>
    <n v="960"/>
    <n v="390102.7"/>
    <s v="21/5, 25/5, 1/6, 1/9, 14/9"/>
    <n v="12"/>
    <n v="0"/>
    <s v="DO106(1), DO107(1), DO111(4), DO114(1), DO117(5)"/>
    <m/>
  </r>
  <r>
    <d v="2021-05-03T00:00:00"/>
    <x v="11"/>
    <x v="2"/>
    <x v="70"/>
    <x v="0"/>
    <s v="RA Aerosil (Silica Fume) (10Kg)"/>
    <x v="32"/>
    <s v="Delivered"/>
    <n v="2"/>
    <s v="Bag"/>
    <n v="290"/>
    <n v="580"/>
    <n v="390682.7"/>
    <s v="29/4, 14/9"/>
    <n v="2"/>
    <n v="0"/>
    <s v="DO102(2), DO118(1)"/>
    <m/>
  </r>
  <r>
    <d v="2021-05-03T00:00:00"/>
    <x v="11"/>
    <x v="2"/>
    <x v="71"/>
    <x v="3"/>
    <s v="Brush 1.1/2&quot;(12Pc)"/>
    <x v="49"/>
    <s v="Ex"/>
    <n v="1"/>
    <s v="Box"/>
    <n v="28.8"/>
    <n v="28.8"/>
    <n v="390711.5"/>
    <s v="21/5"/>
    <n v="1"/>
    <n v="0"/>
    <s v="DO89(1)"/>
    <m/>
  </r>
  <r>
    <d v="2021-05-03T00:00:00"/>
    <x v="11"/>
    <x v="2"/>
    <x v="71"/>
    <x v="3"/>
    <s v="Mould Released TR"/>
    <x v="50"/>
    <s v="Ex"/>
    <n v="1"/>
    <s v="Tin"/>
    <n v="38"/>
    <n v="38"/>
    <n v="390749.5"/>
    <s v="6/5"/>
    <n v="1"/>
    <n v="0"/>
    <s v="DO103(1)"/>
    <m/>
  </r>
  <r>
    <d v="2021-05-10T00:00:00"/>
    <x v="11"/>
    <x v="2"/>
    <x v="72"/>
    <x v="0"/>
    <s v="RA CSM 450 TWL 37kg 79m(L) X 1040mm(W)"/>
    <x v="51"/>
    <s v="Delivered"/>
    <n v="16"/>
    <s v="Roll"/>
    <n v="284.89999999999998"/>
    <n v="4558.3999999999996"/>
    <n v="395307.9"/>
    <s v="5/10, 18/10, 20/10"/>
    <n v="16"/>
    <n v="0"/>
    <s v="DO127(4), DO139(6), DO141(6)"/>
    <m/>
  </r>
  <r>
    <d v="2021-05-10T00:00:00"/>
    <x v="11"/>
    <x v="2"/>
    <x v="72"/>
    <x v="0"/>
    <s v="RA CSM 450 TWL 60kg 64m(L) X 2080mm(W)"/>
    <x v="52"/>
    <s v="Delivered"/>
    <n v="16"/>
    <s v="Roll"/>
    <n v="462"/>
    <n v="7392"/>
    <n v="402699.9"/>
    <s v="1/6, 1/9, 27/9, 10/12"/>
    <n v="16"/>
    <n v="0"/>
    <s v="DO109(3), DO115(4), DO121(4), DO169(5)"/>
    <m/>
  </r>
  <r>
    <d v="2021-05-18T00:00:00"/>
    <x v="11"/>
    <x v="2"/>
    <x v="73"/>
    <x v="0"/>
    <s v="RA Resin 3317AW (220Kg)"/>
    <x v="17"/>
    <s v="Delivered"/>
    <n v="10"/>
    <s v="Drum"/>
    <n v="1727"/>
    <n v="17270"/>
    <n v="419969.9"/>
    <s v="1/9, 14/9, 21/9, 25/9, 28/9"/>
    <n v="10"/>
    <n v="0"/>
    <s v="DO114(1), DO117(3), DO119(4), DO120(1), DO122(1)"/>
    <m/>
  </r>
  <r>
    <d v="2021-05-18T00:00:00"/>
    <x v="11"/>
    <x v="2"/>
    <x v="73"/>
    <x v="0"/>
    <s v="RA Nor 3338NW (220Kg)"/>
    <x v="11"/>
    <s v="Delivered"/>
    <n v="4"/>
    <s v="Drum"/>
    <n v="1650"/>
    <n v="6600"/>
    <n v="426569.9"/>
    <s v="27/9, 9/10, 18/10"/>
    <n v="4"/>
    <n v="0"/>
    <s v="DO121(1), DO130(1), DO139(2-1*)"/>
    <s v="G-FRP(1)*"/>
  </r>
  <r>
    <d v="2021-05-18T00:00:00"/>
    <x v="11"/>
    <x v="2"/>
    <x v="74"/>
    <x v="7"/>
    <s v="RF Resin 3317AW (220Kg)"/>
    <x v="44"/>
    <s v="Ex"/>
    <n v="3"/>
    <s v="Drum"/>
    <n v="1683"/>
    <n v="5049"/>
    <n v="431618.9"/>
    <s v="7/10, 15/10, 23/10"/>
    <n v="3"/>
    <n v="0"/>
    <s v="DO128(1), DO137(1), DO142(1)"/>
    <m/>
  </r>
  <r>
    <d v="2021-09-29T00:00:00"/>
    <x v="4"/>
    <x v="2"/>
    <x v="75"/>
    <x v="0"/>
    <s v="RA Nor 3338W (220Kg)"/>
    <x v="9"/>
    <s v="Delivered"/>
    <n v="12"/>
    <s v="Drum"/>
    <n v="1617"/>
    <n v="19404"/>
    <n v="451022.9"/>
    <s v="13/10, 18/10, 20/10, 26/10, 28/10"/>
    <n v="12"/>
    <n v="0"/>
    <s v="DO133(2), DO139(2-1*), DO141(3-2*), DO144(2), DO147(3)"/>
    <s v="G-FRP(3)*"/>
  </r>
  <r>
    <d v="2021-09-29T00:00:00"/>
    <x v="4"/>
    <x v="2"/>
    <x v="76"/>
    <x v="0"/>
    <s v="RA CSM 450 TWL 37kg 79m(L) X 1040mm(W)"/>
    <x v="51"/>
    <s v="Delivered"/>
    <n v="32"/>
    <s v="Roll"/>
    <n v="281.2"/>
    <n v="8998.4"/>
    <n v="460021.30000000005"/>
    <s v="20/10, 26/10, 26/10, 28/10"/>
    <n v="32"/>
    <n v="0"/>
    <s v="DO141(6), DO143(8), DO144(14), DO147(4)"/>
    <m/>
  </r>
  <r>
    <d v="2021-09-29T00:00:00"/>
    <x v="4"/>
    <x v="2"/>
    <x v="76"/>
    <x v="0"/>
    <s v="RA Aerosil (Silica Fume) (10Kg)"/>
    <x v="32"/>
    <s v="Delivered"/>
    <n v="2"/>
    <s v="Bag"/>
    <n v="290"/>
    <n v="580"/>
    <n v="460601.30000000005"/>
    <s v="13/10, 11/1/22"/>
    <n v="2"/>
    <n v="0"/>
    <s v="DO133(1), DO187(1)"/>
    <m/>
  </r>
  <r>
    <d v="2021-09-29T00:00:00"/>
    <x v="4"/>
    <x v="2"/>
    <x v="76"/>
    <x v="0"/>
    <s v="RA Mepoxe M (5kg)"/>
    <x v="36"/>
    <s v="Ex"/>
    <n v="12"/>
    <s v="Bottle"/>
    <n v="60"/>
    <n v="720"/>
    <n v="461321.30000000005"/>
    <s v="30/9, 5/10, 7/10, 11/10, 15/10, 18/10, 20/10"/>
    <n v="12"/>
    <n v="0"/>
    <s v="DO123(3), DO127(2), DO128(2), DO131(1), DO136(1), DO139(2), DO141(1)"/>
    <m/>
  </r>
  <r>
    <d v="2021-09-29T00:00:00"/>
    <x v="4"/>
    <x v="2"/>
    <x v="76"/>
    <x v="0"/>
    <s v="RA Resin 3317AW (220Kg)"/>
    <x v="17"/>
    <s v="Delivered"/>
    <n v="10"/>
    <s v="Drum"/>
    <n v="1650"/>
    <n v="16500"/>
    <n v="477821.30000000005"/>
    <s v="26/10, 26/10, 26/10, 2/11, 3/11"/>
    <n v="10"/>
    <n v="0"/>
    <s v="DO143(2), DO144(2), DO146(3), DO152(1), DO153(2)"/>
    <m/>
  </r>
  <r>
    <d v="2021-10-04T00:00:00"/>
    <x v="5"/>
    <x v="2"/>
    <x v="77"/>
    <x v="8"/>
    <s v="RG CSM 450 CQ 54kg 64m(L) X 1860mm(W)"/>
    <x v="47"/>
    <s v="Ex"/>
    <n v="10"/>
    <s v="Roll"/>
    <n v="432"/>
    <n v="4320"/>
    <n v="482141.30000000005"/>
    <s v="13/10, 10/12, 10/12, 31/12, 13/1/22, 22/1/22, 26/1/22"/>
    <n v="10"/>
    <n v="0"/>
    <s v="DO133(2), DO168(1), DO169(1), DO181(1), DO188(2), DO194(1), DO197(2)"/>
    <m/>
  </r>
  <r>
    <d v="2021-10-07T00:00:00"/>
    <x v="5"/>
    <x v="2"/>
    <x v="78"/>
    <x v="0"/>
    <s v="RA CSM 450 TWL 37kg 79m(L) X 1040mm(W)"/>
    <x v="51"/>
    <s v="Delivered"/>
    <n v="25"/>
    <s v="Roll"/>
    <n v="281.2"/>
    <n v="7030"/>
    <n v="489171.30000000005"/>
    <s v="28/10, 30/10, 3/11, 6/11"/>
    <n v="25"/>
    <n v="0"/>
    <s v="DO147(2), DO149(4), DO153(15), DO155(4)"/>
    <m/>
  </r>
  <r>
    <d v="2021-10-08T00:00:00"/>
    <x v="5"/>
    <x v="2"/>
    <x v="79"/>
    <x v="10"/>
    <s v="RI Silicone Rubber (25kg)"/>
    <x v="53"/>
    <s v="Ex"/>
    <n v="1"/>
    <s v="Pail"/>
    <n v="800"/>
    <n v="800"/>
    <n v="489971.30000000005"/>
    <s v="8/10"/>
    <n v="1"/>
    <n v="0"/>
    <s v="DO129(1)"/>
    <m/>
  </r>
  <r>
    <d v="2021-10-12T00:00:00"/>
    <x v="5"/>
    <x v="2"/>
    <x v="80"/>
    <x v="0"/>
    <s v="RA Resin SHCP268W (225kg)"/>
    <x v="54"/>
    <s v="Ex"/>
    <n v="4"/>
    <s v="Drum"/>
    <n v="1676.25"/>
    <n v="6705"/>
    <n v="496676.30000000005"/>
    <s v="12/10"/>
    <n v="4"/>
    <n v="0"/>
    <m/>
    <m/>
  </r>
  <r>
    <d v="2021-10-12T00:00:00"/>
    <x v="5"/>
    <x v="2"/>
    <x v="80"/>
    <x v="0"/>
    <s v="RA CSM 450 TWL 37kg 79m(L) X 1040mm(W)"/>
    <x v="51"/>
    <s v="Ex"/>
    <n v="10"/>
    <s v="Roll"/>
    <n v="307.10000000000002"/>
    <n v="3071"/>
    <n v="499747.30000000005"/>
    <s v="12/10"/>
    <n v="10"/>
    <n v="0"/>
    <s v="DO132(10)"/>
    <m/>
  </r>
  <r>
    <d v="2021-10-12T00:00:00"/>
    <x v="5"/>
    <x v="2"/>
    <x v="80"/>
    <x v="0"/>
    <s v="RA Mepoxe M (5kg)"/>
    <x v="36"/>
    <s v="Ex"/>
    <n v="4"/>
    <s v="Bottle"/>
    <n v="60"/>
    <n v="240"/>
    <n v="499987.30000000005"/>
    <s v="12/10, "/>
    <n v="4"/>
    <n v="0"/>
    <s v="DO132(4)"/>
    <m/>
  </r>
  <r>
    <d v="2021-10-12T00:00:00"/>
    <x v="5"/>
    <x v="2"/>
    <x v="80"/>
    <x v="0"/>
    <s v="RA Woven Roving E-600 (45kg) 1120mm"/>
    <x v="55"/>
    <s v="Ex"/>
    <n v="4"/>
    <s v="Roll"/>
    <n v="288"/>
    <n v="1152"/>
    <n v="501139.30000000005"/>
    <s v="12/10"/>
    <n v="4"/>
    <n v="0"/>
    <s v="DO132(4)"/>
    <m/>
  </r>
  <r>
    <d v="2021-10-12T00:00:00"/>
    <x v="5"/>
    <x v="2"/>
    <x v="80"/>
    <x v="0"/>
    <s v="RA Talcum Powder (25kg)"/>
    <x v="10"/>
    <s v="Ex"/>
    <n v="2"/>
    <s v="Bag"/>
    <n v="30"/>
    <n v="60"/>
    <n v="501199.30000000005"/>
    <s v="12/10"/>
    <n v="2"/>
    <n v="0"/>
    <s v="DO132(2)"/>
    <m/>
  </r>
  <r>
    <d v="2021-10-14T00:00:00"/>
    <x v="5"/>
    <x v="2"/>
    <x v="81"/>
    <x v="11"/>
    <s v="RJ Nor 3338W (220Kg)"/>
    <x v="56"/>
    <s v="Ex"/>
    <n v="4"/>
    <s v="Drum"/>
    <n v="1760"/>
    <n v="7040"/>
    <n v="508239.30000000005"/>
    <s v="28/10, 2/11"/>
    <n v="4"/>
    <n v="0"/>
    <s v="DO147(3), DO151(1)"/>
    <m/>
  </r>
  <r>
    <d v="2021-10-14T00:00:00"/>
    <x v="5"/>
    <x v="2"/>
    <x v="81"/>
    <x v="11"/>
    <s v="RJ CSM 450 60kg 64m(L) X 2080mm(W)"/>
    <x v="57"/>
    <s v="Ex"/>
    <n v="10"/>
    <s v="Roll"/>
    <n v="468"/>
    <n v="4680"/>
    <n v="512919.30000000005"/>
    <s v="14/10"/>
    <n v="10"/>
    <n v="0"/>
    <s v="DO135(10)"/>
    <m/>
  </r>
  <r>
    <d v="2021-10-14T00:00:00"/>
    <x v="5"/>
    <x v="2"/>
    <x v="82"/>
    <x v="11"/>
    <s v="RJ TR104 Hi Temp Wax"/>
    <x v="58"/>
    <s v="Ex"/>
    <n v="12"/>
    <s v="Tin"/>
    <n v="40"/>
    <n v="480"/>
    <n v="513399.30000000005"/>
    <s v="14/10, 11/11, 10/12, 10/12, 6/1/22"/>
    <n v="12"/>
    <n v="0"/>
    <s v="DO134(6), DO161(2), DO168(1), DO183(3)"/>
    <m/>
  </r>
  <r>
    <d v="2021-10-15T00:00:00"/>
    <x v="5"/>
    <x v="2"/>
    <x v="83"/>
    <x v="0"/>
    <s v="RA Vinylester Resin 7110-NC (Promoted) (25kg)"/>
    <x v="59"/>
    <s v="Ex"/>
    <n v="3"/>
    <s v="Pail"/>
    <n v="500"/>
    <n v="1500"/>
    <n v="514899.30000000005"/>
    <s v="15/10"/>
    <n v="3"/>
    <n v="0"/>
    <s v="DO136(3)"/>
    <m/>
  </r>
  <r>
    <d v="2021-10-15T00:00:00"/>
    <x v="5"/>
    <x v="2"/>
    <x v="84"/>
    <x v="0"/>
    <s v="RA CSM 450 TWL 37kg 79m(L) X 1040mm(W)"/>
    <x v="51"/>
    <s v="Ex"/>
    <n v="2"/>
    <s v="Roll"/>
    <n v="307.10000000000002"/>
    <n v="614.20000000000005"/>
    <n v="515513.50000000006"/>
    <s v="15/10"/>
    <n v="2"/>
    <n v="0"/>
    <s v="DO136(3)"/>
    <m/>
  </r>
  <r>
    <d v="2021-10-15T00:00:00"/>
    <x v="5"/>
    <x v="2"/>
    <x v="84"/>
    <x v="0"/>
    <s v="RA Woven Roving E-600 (45kg) 1120mm"/>
    <x v="55"/>
    <s v="Ex"/>
    <n v="2"/>
    <s v="Roll"/>
    <n v="288"/>
    <n v="576"/>
    <n v="516089.50000000006"/>
    <s v="15/10"/>
    <n v="2"/>
    <n v="0"/>
    <s v="DO138(2)"/>
    <m/>
  </r>
  <r>
    <d v="2021-10-18T00:00:00"/>
    <x v="5"/>
    <x v="2"/>
    <x v="85"/>
    <x v="11"/>
    <s v="RJ Woven Roving E-600 (45kg) 1120mm"/>
    <x v="60"/>
    <s v="Ex"/>
    <n v="9"/>
    <s v="Roll"/>
    <n v="270"/>
    <n v="2430"/>
    <n v="518519.50000000006"/>
    <s v="18/10"/>
    <n v="9"/>
    <n v="0"/>
    <s v="DO139(9)"/>
    <m/>
  </r>
  <r>
    <d v="2021-10-19T00:00:00"/>
    <x v="5"/>
    <x v="2"/>
    <x v="86"/>
    <x v="12"/>
    <s v="RK Smooth Cream (25kg)"/>
    <x v="61"/>
    <s v="Ex"/>
    <n v="12"/>
    <s v="Pail"/>
    <n v="700"/>
    <n v="8400"/>
    <n v="526919.5"/>
    <s v="19/10, 26/10, 6/11, 11/11, 10/12, 20/12, 22/12, 30/12, 13/1/22, 18/1/22, 24/2/22"/>
    <n v="12"/>
    <n v="0"/>
    <s v="DO140(1), DO144(1), DO155(1), DO159(2), DO169(1), DO173(1), DO175(1), DO179(1), DO189(1), DO193(1), DO206(1)"/>
    <m/>
  </r>
  <r>
    <d v="2021-10-18T00:00:00"/>
    <x v="5"/>
    <x v="2"/>
    <x v="87"/>
    <x v="0"/>
    <s v="RA Mepoxe M (5kg)"/>
    <x v="36"/>
    <s v="Ex"/>
    <n v="16"/>
    <s v="Bottle"/>
    <n v="65"/>
    <n v="1040"/>
    <n v="527959.5"/>
    <s v="20/10, 30/10, 2/11, 3/11, 3/11, 6/11"/>
    <n v="16"/>
    <n v="0"/>
    <s v="DO141(1), DO149(4), DO152(2), DO153(4), DO154(4), DO155(1)"/>
    <m/>
  </r>
  <r>
    <d v="2021-10-21T00:00:00"/>
    <x v="5"/>
    <x v="2"/>
    <x v="85"/>
    <x v="11"/>
    <s v="RJ Nor 3338W (220Kg)"/>
    <x v="56"/>
    <s v="Ex"/>
    <n v="5"/>
    <s v="Drum"/>
    <n v="1760"/>
    <n v="8800"/>
    <n v="536759.5"/>
    <s v="30/10, 2/11"/>
    <n v="5"/>
    <n v="0"/>
    <s v="DO149(4), DO151(1)"/>
    <m/>
  </r>
  <r>
    <d v="2021-10-21T00:00:00"/>
    <x v="5"/>
    <x v="2"/>
    <x v="85"/>
    <x v="11"/>
    <s v="RJ Resin 3317AW (220Kg)"/>
    <x v="62"/>
    <s v="Ex"/>
    <n v="10"/>
    <s v="Drum"/>
    <n v="1760"/>
    <n v="17600"/>
    <n v="554359.5"/>
    <s v="6/11, 10/11, 11/11, 23/11, 29/11, 7/12, 10/12"/>
    <n v="10"/>
    <n v="0"/>
    <s v="DO155(2), DO158(1), DO161(1), DO163(1), DO166(1), DO167(3), DO168(1)"/>
    <m/>
  </r>
  <r>
    <d v="2021-10-21T00:00:00"/>
    <x v="5"/>
    <x v="2"/>
    <x v="88"/>
    <x v="8"/>
    <s v="RG Nor 3338W (220Kg)"/>
    <x v="63"/>
    <s v="Ex"/>
    <n v="5"/>
    <s v="Drum"/>
    <n v="1749"/>
    <n v="8745"/>
    <n v="563104.5"/>
    <s v="3/11, 6/11"/>
    <n v="5"/>
    <n v="0"/>
    <s v="DO153(3), DO155(2)"/>
    <m/>
  </r>
  <r>
    <d v="2021-10-26T00:00:00"/>
    <x v="5"/>
    <x v="2"/>
    <x v="89"/>
    <x v="0"/>
    <s v="RA Butanox M50 (5kg)"/>
    <x v="7"/>
    <s v="Ex"/>
    <n v="12"/>
    <s v="Bottle"/>
    <n v="82.5"/>
    <n v="990"/>
    <n v="564094.5"/>
    <s v="5/10, 14/10, 15/10, 26/10, 13/11, 26/11, 31/12, 10/1/22"/>
    <n v="12"/>
    <n v="0"/>
    <s v="DO126(1), DO134(1), DO137(1), DO143(4), DO162(2), DO164(1), DO181(1), DO186(1)"/>
    <s v="DO126(1), DO134(1), DO137(1) *Ex Stock (3)"/>
  </r>
  <r>
    <d v="2021-10-26T00:00:00"/>
    <x v="5"/>
    <x v="2"/>
    <x v="89"/>
    <x v="0"/>
    <s v="RA Woven Roving E-600 (45kg) 1120mm"/>
    <x v="55"/>
    <s v="Ex"/>
    <n v="20"/>
    <s v="Roll"/>
    <n v="288"/>
    <n v="5760"/>
    <n v="569854.5"/>
    <s v="26/10, 3/11, 6/11"/>
    <n v="20"/>
    <n v="0"/>
    <s v="DO144(9), DO153(9), DO155(2)"/>
    <m/>
  </r>
  <r>
    <d v="2021-10-28T00:00:00"/>
    <x v="5"/>
    <x v="2"/>
    <x v="90"/>
    <x v="6"/>
    <s v="RE Frekote 770NC (1 Gallon)"/>
    <x v="42"/>
    <s v="Ex"/>
    <n v="4"/>
    <s v="Tin"/>
    <n v="305"/>
    <n v="1220"/>
    <n v="571074.5"/>
    <s v="28/10, 2/11, 10/12, 6/1/22"/>
    <n v="4"/>
    <n v="0"/>
    <s v="DO148(1), DO151(1), DO168(1), DO183(1)"/>
    <m/>
  </r>
  <r>
    <d v="2021-11-03T00:00:00"/>
    <x v="6"/>
    <x v="2"/>
    <x v="91"/>
    <x v="0"/>
    <s v="RA Nor 3338W (220Kg)"/>
    <x v="9"/>
    <s v="Delivered"/>
    <n v="10"/>
    <s v="Drum"/>
    <n v="1815"/>
    <n v="18150"/>
    <n v="589224.5"/>
    <s v="6/11, 8/11, 11/11, 13/11"/>
    <n v="10"/>
    <n v="0"/>
    <s v="DO155(1), DO156(6), DO159(1), D0162(2)"/>
    <m/>
  </r>
  <r>
    <d v="2021-11-03T00:00:00"/>
    <x v="6"/>
    <x v="2"/>
    <x v="92"/>
    <x v="0"/>
    <s v="RA CSM 450 TWL 37kg 79m(L) X 1040mm(W)"/>
    <x v="51"/>
    <s v="Ex"/>
    <n v="1"/>
    <s v="Roll"/>
    <n v="321.89999999999998"/>
    <n v="321.89999999999998"/>
    <n v="589546.4"/>
    <s v="1/11"/>
    <n v="1"/>
    <n v="0"/>
    <s v="DO150(1)"/>
    <m/>
  </r>
  <r>
    <d v="2021-11-03T00:00:00"/>
    <x v="6"/>
    <x v="2"/>
    <x v="92"/>
    <x v="0"/>
    <s v="RA Pigment Super Black (5kg)"/>
    <x v="64"/>
    <s v="Ex"/>
    <n v="1"/>
    <s v="Tin"/>
    <n v="105"/>
    <n v="105"/>
    <n v="589651.4"/>
    <s v="19/3/22"/>
    <n v="1"/>
    <n v="0"/>
    <s v="DO221(1)"/>
    <m/>
  </r>
  <r>
    <d v="2021-11-03T00:00:00"/>
    <x v="6"/>
    <x v="2"/>
    <x v="93"/>
    <x v="0"/>
    <s v="RA CSM 450 TWL 37kg 79m(L) X 1040mm(W)"/>
    <x v="51"/>
    <s v="Delivered"/>
    <n v="32"/>
    <s v="Roll"/>
    <n v="321.89999999999998"/>
    <n v="10300.799999999999"/>
    <n v="599952.20000000007"/>
    <s v="6/11, 8/11, 11/11"/>
    <n v="32"/>
    <n v="0"/>
    <s v="DO155(11), DO156(6), DO159(15)"/>
    <m/>
  </r>
  <r>
    <d v="2021-11-03T00:00:00"/>
    <x v="6"/>
    <x v="2"/>
    <x v="94"/>
    <x v="0"/>
    <s v="RA Woven Roving E-600 (45kg) 1120mm"/>
    <x v="55"/>
    <s v="Ex"/>
    <n v="10"/>
    <s v="Roll"/>
    <n v="288"/>
    <n v="2880"/>
    <n v="602832.20000000007"/>
    <s v="6/11, 11/11, 7/12"/>
    <n v="10"/>
    <n v="0"/>
    <s v="DO155(5), DO159(4), DO167(1)"/>
    <m/>
  </r>
  <r>
    <d v="2021-11-03T00:00:00"/>
    <x v="6"/>
    <x v="2"/>
    <x v="95"/>
    <x v="0"/>
    <s v="RA Aerosil (Silica Fume) (10Kg)"/>
    <x v="32"/>
    <s v="Delivered"/>
    <n v="5"/>
    <s v="Bag"/>
    <n v="390"/>
    <n v="1950"/>
    <n v="604782.20000000007"/>
    <s v="2/11, 3/11, 14/1/22"/>
    <n v="5"/>
    <n v="0"/>
    <s v="DO151(1), DO154(3), DO190(1)"/>
    <m/>
  </r>
  <r>
    <d v="2021-11-05T00:00:00"/>
    <x v="6"/>
    <x v="2"/>
    <x v="96"/>
    <x v="0"/>
    <s v="RA Mepoxe M (5kg)"/>
    <x v="36"/>
    <s v="Delivered"/>
    <n v="8"/>
    <s v="Bottle"/>
    <n v="65"/>
    <n v="520"/>
    <n v="605302.20000000007"/>
    <s v="6/11, 23/11, 7/12, 10/12"/>
    <n v="8"/>
    <n v="0"/>
    <s v="DO155(3), DO167(2), DO168(1)"/>
    <m/>
  </r>
  <r>
    <d v="2021-11-05T00:00:00"/>
    <x v="6"/>
    <x v="2"/>
    <x v="96"/>
    <x v="0"/>
    <s v="RA Butanox M50 (5kg)"/>
    <x v="7"/>
    <s v="Delivered"/>
    <n v="4"/>
    <s v="Bottle"/>
    <n v="90"/>
    <n v="360"/>
    <n v="605662.20000000007"/>
    <s v="10/1/22"/>
    <n v="4"/>
    <n v="0"/>
    <s v="DO186(4)"/>
    <m/>
  </r>
  <r>
    <d v="2021-11-08T00:00:00"/>
    <x v="6"/>
    <x v="2"/>
    <x v="97"/>
    <x v="13"/>
    <s v="RL CSM 450 Jushi 37kg 79m(L) X 1040mm(W)"/>
    <x v="65"/>
    <s v="Ex"/>
    <n v="10"/>
    <s v="Roll"/>
    <n v="333"/>
    <n v="3330"/>
    <n v="608992.20000000007"/>
    <s v="29/11, 7/12"/>
    <n v="10"/>
    <n v="0"/>
    <s v="DO166(1), DO167(9)"/>
    <m/>
  </r>
  <r>
    <d v="2021-11-08T00:00:00"/>
    <x v="6"/>
    <x v="2"/>
    <x v="98"/>
    <x v="0"/>
    <s v="RA Gelcoat GP-H (20kg)"/>
    <x v="4"/>
    <s v="Delivered"/>
    <n v="5"/>
    <s v="Pail"/>
    <n v="246"/>
    <n v="1230"/>
    <n v="610222.20000000007"/>
    <s v="13/11, 10/12, 14/1/22"/>
    <n v="5"/>
    <n v="0"/>
    <s v="DO161(2), DO168(1), DO190(2)"/>
    <m/>
  </r>
  <r>
    <d v="2021-11-10T00:00:00"/>
    <x v="6"/>
    <x v="2"/>
    <x v="99"/>
    <x v="8"/>
    <s v="RG Nor 3338W (220Kg)"/>
    <x v="63"/>
    <s v="Ex"/>
    <n v="10"/>
    <s v="Drum"/>
    <n v="1914"/>
    <n v="19140"/>
    <n v="629362.20000000007"/>
    <s v="11/11, 26/11"/>
    <n v="10"/>
    <n v="0"/>
    <s v="DO159(9), DO164(1)"/>
    <m/>
  </r>
  <r>
    <d v="2021-11-11T00:00:00"/>
    <x v="6"/>
    <x v="2"/>
    <x v="100"/>
    <x v="0"/>
    <s v="RA Woven Roving E-600 (45kg) 1120mm"/>
    <x v="55"/>
    <s v="Ex"/>
    <n v="10"/>
    <s v="Roll"/>
    <n v="288"/>
    <n v="2880"/>
    <n v="632242.20000000007"/>
    <s v="11/11"/>
    <n v="10"/>
    <n v="0"/>
    <s v="DO159(10)"/>
    <m/>
  </r>
  <r>
    <d v="2021-11-11T00:00:00"/>
    <x v="6"/>
    <x v="2"/>
    <x v="101"/>
    <x v="0"/>
    <s v="RA Talcum Powder (25kg)"/>
    <x v="10"/>
    <s v="Ex"/>
    <n v="5"/>
    <s v="Bag"/>
    <n v="32.5"/>
    <n v="162.5"/>
    <n v="632404.70000000007"/>
    <s v="11/11"/>
    <n v="5"/>
    <n v="0"/>
    <s v="DO160(5)"/>
    <m/>
  </r>
  <r>
    <d v="2021-11-12T00:00:00"/>
    <x v="6"/>
    <x v="2"/>
    <x v="102"/>
    <x v="0"/>
    <s v="RA Talcum Powder (25kg)"/>
    <x v="10"/>
    <s v="Delivered"/>
    <n v="80"/>
    <s v="Bag"/>
    <n v="32.5"/>
    <n v="2600"/>
    <n v="635004.70000000007"/>
    <s v="13/11, 23/11, 26/11, 7/12, 10/12, 20/12, 22/12, 30/12, 31/12, 3/1/22, 8/1/22, 11/1/22, 13/1/22, 14/1/22, 18/1/22, 24/1/22, 17/2/22, 19/2/22, 22/2/22"/>
    <n v="80"/>
    <n v="0"/>
    <s v="DO162(2), DO163(3), DO164(4), DO167(3), DO169(5), DO173(3), DO175(3), DO179(5), DO181(4), DO182(2), DO185(2), DO187(10), DO189(8), DO191(1), DO193(2), DO195(10), DO200(5), DO202(4), DO205(4)"/>
    <m/>
  </r>
  <r>
    <d v="2021-11-26T00:00:00"/>
    <x v="6"/>
    <x v="2"/>
    <x v="103"/>
    <x v="11"/>
    <s v="RJ Nor 3338W (220Kg)"/>
    <x v="56"/>
    <s v="Ex"/>
    <n v="4"/>
    <s v="Drum"/>
    <n v="2002"/>
    <n v="8008"/>
    <n v="643012.70000000007"/>
    <s v="26/11, 15/12"/>
    <n v="4"/>
    <n v="0"/>
    <s v="DO165(1), DO170(3)"/>
    <m/>
  </r>
  <r>
    <d v="2021-11-26T00:00:00"/>
    <x v="6"/>
    <x v="2"/>
    <x v="103"/>
    <x v="11"/>
    <s v="RJ Resin 3317AW (220Kg)"/>
    <x v="62"/>
    <s v="Ex"/>
    <n v="4"/>
    <s v="Drum"/>
    <n v="2002"/>
    <n v="8008"/>
    <n v="651020.70000000007"/>
    <s v="20/12, 22/12"/>
    <n v="4"/>
    <n v="0"/>
    <s v="DO173(3), DO175(1)"/>
    <m/>
  </r>
  <r>
    <d v="2021-11-26T00:00:00"/>
    <x v="6"/>
    <x v="2"/>
    <x v="104"/>
    <x v="11"/>
    <s v="RJ Woven Roving E-600 (45kg) 1120mm"/>
    <x v="55"/>
    <s v="Ex"/>
    <n v="2"/>
    <s v="Roll"/>
    <n v="240"/>
    <n v="480"/>
    <n v="651500.70000000007"/>
    <s v="7/12"/>
    <n v="2"/>
    <n v="0"/>
    <s v="DO167(2)"/>
    <m/>
  </r>
  <r>
    <d v="2021-12-01T00:00:00"/>
    <x v="0"/>
    <x v="2"/>
    <x v="105"/>
    <x v="0"/>
    <s v="RA Mepoxe M (5kg)"/>
    <x v="36"/>
    <s v="Delivered"/>
    <n v="20"/>
    <s v="Bottle"/>
    <n v="65"/>
    <n v="1300"/>
    <n v="652800.70000000007"/>
    <s v="10/12, 10/12, 15/12, 30/12, 11/1/22, 14/1/22, 24/1/22"/>
    <n v="20"/>
    <n v="0"/>
    <s v="DO168(1), DO169(2), DO171(4), DO179(4), DO187(4), DO190(4), DO195(1)"/>
    <m/>
  </r>
  <r>
    <d v="2021-12-01T00:00:00"/>
    <x v="0"/>
    <x v="2"/>
    <x v="105"/>
    <x v="0"/>
    <s v="RA Butanox M50 (5kg)"/>
    <x v="7"/>
    <s v="Delivered"/>
    <n v="12"/>
    <s v="Bottle"/>
    <n v="90"/>
    <n v="1080"/>
    <n v="653880.70000000007"/>
    <s v="10/1/22, 22/1/22, 10/2/22, 19/2/22, 22/2/22, 8/3/22, 17/3/22"/>
    <n v="12"/>
    <n v="0"/>
    <s v="DO186(1), DO194(1), DO198(1), DO202(6), DO205(1), DO210(1), DO219(1)"/>
    <m/>
  </r>
  <r>
    <d v="2021-12-02T00:00:00"/>
    <x v="0"/>
    <x v="2"/>
    <x v="106"/>
    <x v="8"/>
    <s v="RG Nor 3338W (220Kg)"/>
    <x v="63"/>
    <s v="Ex"/>
    <n v="10"/>
    <s v="Drum"/>
    <n v="1914"/>
    <n v="19140"/>
    <n v="673020.70000000007"/>
    <s v="15/12, 15/12, 31/12, 31/12"/>
    <n v="10"/>
    <n v="0"/>
    <s v="DO170(3), DO171(1), DO180(4), DO181(2)"/>
    <m/>
  </r>
  <r>
    <s v="7/12/2021"/>
    <x v="0"/>
    <x v="2"/>
    <x v="107"/>
    <x v="0"/>
    <s v="RA Resin 9539W (225Kg)"/>
    <x v="66"/>
    <s v="Delivered"/>
    <n v="5"/>
    <s v="Drum"/>
    <n v="1957.5"/>
    <n v="9787.5"/>
    <n v="682808.20000000007"/>
    <s v="10/12"/>
    <n v="5"/>
    <n v="0"/>
    <s v="DO169(5)"/>
    <m/>
  </r>
  <r>
    <s v="7/12/2021"/>
    <x v="0"/>
    <x v="2"/>
    <x v="107"/>
    <x v="0"/>
    <s v="RA Aerosil (Silica Fume) (10Kg)"/>
    <x v="32"/>
    <s v="Delivered"/>
    <n v="3"/>
    <s v="Bag"/>
    <n v="390"/>
    <n v="1170"/>
    <n v="683978.20000000007"/>
    <s v="24/1/22, 17/2/22, 22/2/22"/>
    <n v="3"/>
    <n v="0"/>
    <s v="DO195(1), DO200(1), DO205(1)"/>
    <m/>
  </r>
  <r>
    <d v="2021-12-08T00:00:00"/>
    <x v="0"/>
    <x v="2"/>
    <x v="108"/>
    <x v="0"/>
    <s v="RA Woven Roving E-600 (45kg) 1120mm"/>
    <x v="55"/>
    <s v="Ex"/>
    <n v="1"/>
    <s v="Roll"/>
    <n v="288"/>
    <n v="288"/>
    <n v="684266.20000000007"/>
    <s v="7/12"/>
    <n v="1"/>
    <n v="0"/>
    <s v="DO167(1)"/>
    <m/>
  </r>
  <r>
    <d v="2021-12-08T00:00:00"/>
    <x v="0"/>
    <x v="2"/>
    <x v="108"/>
    <x v="0"/>
    <s v="RA Woven Roving E-800 (45kg) 1120mm"/>
    <x v="67"/>
    <s v="Ex"/>
    <n v="2"/>
    <s v="Roll"/>
    <n v="288"/>
    <n v="576"/>
    <n v="684842.20000000007"/>
    <s v="7/12"/>
    <n v="2"/>
    <n v="0"/>
    <s v="DO167(2)"/>
    <m/>
  </r>
  <r>
    <d v="2021-12-09T00:00:00"/>
    <x v="0"/>
    <x v="2"/>
    <x v="109"/>
    <x v="0"/>
    <s v="RA Pigment H 2006 Dark Grey (5Kg)"/>
    <x v="28"/>
    <s v="Ex"/>
    <n v="2"/>
    <s v="Tin"/>
    <n v="120"/>
    <n v="240"/>
    <n v="685082.20000000007"/>
    <s v="10/12"/>
    <n v="2"/>
    <n v="0"/>
    <s v="DO168(1)"/>
    <m/>
  </r>
  <r>
    <d v="2021-12-09T00:00:00"/>
    <x v="0"/>
    <x v="2"/>
    <x v="109"/>
    <x v="0"/>
    <s v="RA Tissue Mat (300M2) 30G/M2 1Meter (9Kg) Soft"/>
    <x v="68"/>
    <s v="Ex"/>
    <n v="1"/>
    <s v="Roll"/>
    <n v="420"/>
    <n v="420"/>
    <n v="685502.20000000007"/>
    <s v="10/12"/>
    <n v="1"/>
    <n v="0"/>
    <s v="DO168(1)"/>
    <m/>
  </r>
  <r>
    <d v="2021-12-10T00:00:00"/>
    <x v="0"/>
    <x v="2"/>
    <x v="28"/>
    <x v="3"/>
    <s v="Brush 1.1/2&quot;(12Pc)"/>
    <x v="49"/>
    <s v="Ex"/>
    <n v="1"/>
    <s v="Box"/>
    <n v="32"/>
    <n v="32"/>
    <n v="685534.20000000007"/>
    <s v="10/12"/>
    <n v="1"/>
    <n v="0"/>
    <s v="DO168(1)"/>
    <m/>
  </r>
  <r>
    <d v="2021-12-10T00:00:00"/>
    <x v="0"/>
    <x v="2"/>
    <x v="110"/>
    <x v="7"/>
    <s v="RF Woven Roving E-600 (45kg) 1120mm"/>
    <x v="69"/>
    <s v="Delivered"/>
    <n v="20"/>
    <s v="Roll"/>
    <n v="306"/>
    <n v="6120"/>
    <n v="691654.20000000007"/>
    <s v="10/12, 30/12, 3/1/22, 7/1/22, 8/1/22"/>
    <n v="20"/>
    <n v="0"/>
    <s v="DO169(7), DO179(8), DO182(2), DO184(1), DO185(2)"/>
    <m/>
  </r>
  <r>
    <d v="2021-12-10T00:00:00"/>
    <x v="0"/>
    <x v="2"/>
    <x v="111"/>
    <x v="7"/>
    <s v="RF Resin 3317AW (220Kg)"/>
    <x v="44"/>
    <s v="Delivered"/>
    <n v="5"/>
    <s v="Drum"/>
    <n v="1980"/>
    <n v="9900"/>
    <n v="701554.20000000007"/>
    <s v="22/12, 28/12, 30/12"/>
    <n v="5"/>
    <n v="0"/>
    <s v="DO175(2), DO178(2), DO179(1)"/>
    <m/>
  </r>
  <r>
    <d v="2021-12-14T00:00:00"/>
    <x v="0"/>
    <x v="2"/>
    <x v="112"/>
    <x v="8"/>
    <s v="RG Resin 3317AW (220Kg)"/>
    <x v="70"/>
    <s v="Ex"/>
    <n v="10"/>
    <s v="Drum"/>
    <n v="1936"/>
    <n v="19360"/>
    <n v="720914.20000000007"/>
    <s v="30/12, 31/12, 3/1/22, 8/1/22"/>
    <n v="10"/>
    <n v="0"/>
    <s v="DO179(4), DO180(1), DO182(3), DO185(2)"/>
    <m/>
  </r>
  <r>
    <d v="2021-12-15T00:00:00"/>
    <x v="0"/>
    <x v="2"/>
    <x v="111"/>
    <x v="7"/>
    <s v="RF Nor 3338NW (220Kg)"/>
    <x v="45"/>
    <s v="Ex"/>
    <n v="1"/>
    <s v="Drum"/>
    <n v="1980"/>
    <n v="1980"/>
    <n v="722894.20000000007"/>
    <s v="15/12"/>
    <n v="1"/>
    <n v="0"/>
    <s v="DO171(1)"/>
    <m/>
  </r>
  <r>
    <d v="2021-12-15T00:00:00"/>
    <x v="0"/>
    <x v="2"/>
    <x v="111"/>
    <x v="7"/>
    <s v="RF Nor 3338W (220Kg)"/>
    <x v="46"/>
    <s v="Ex"/>
    <n v="4"/>
    <s v="Drum"/>
    <n v="1980"/>
    <n v="7920"/>
    <n v="730814.20000000007"/>
    <s v="15/12"/>
    <n v="4"/>
    <n v="0"/>
    <s v="DO171(4)"/>
    <m/>
  </r>
  <r>
    <s v="16/12/2021"/>
    <x v="0"/>
    <x v="2"/>
    <x v="113"/>
    <x v="0"/>
    <s v="RA Accelerator (5Kg)"/>
    <x v="18"/>
    <s v="Ex"/>
    <n v="1"/>
    <s v="Can"/>
    <n v="345"/>
    <n v="345"/>
    <n v="731159.20000000007"/>
    <s v="15/12"/>
    <n v="1"/>
    <n v="0"/>
    <s v="DO172(1)"/>
    <m/>
  </r>
  <r>
    <d v="2021-12-21T00:00:00"/>
    <x v="0"/>
    <x v="2"/>
    <x v="114"/>
    <x v="13"/>
    <s v="RL CSM 450 Jushi 37kg 1040mm(W)"/>
    <x v="71"/>
    <s v="Ex"/>
    <n v="8"/>
    <s v="Roll"/>
    <n v="362.6"/>
    <n v="2900.8"/>
    <n v="734060.00000000012"/>
    <s v="22/12"/>
    <n v="8"/>
    <n v="0"/>
    <s v="DO175(8)"/>
    <m/>
  </r>
  <r>
    <d v="2021-12-21T00:00:00"/>
    <x v="0"/>
    <x v="2"/>
    <x v="114"/>
    <x v="13"/>
    <s v="RL CSM 450 Jushi 54kg 1860mm(W)"/>
    <x v="72"/>
    <s v="Ex"/>
    <n v="2"/>
    <s v="Roll"/>
    <n v="486"/>
    <n v="972"/>
    <n v="735032.00000000012"/>
    <s v="26/1/22, 10/2/22"/>
    <n v="2"/>
    <n v="0"/>
    <s v="DO197(1), DO198(1)"/>
    <m/>
  </r>
  <r>
    <d v="2021-12-21T00:00:00"/>
    <x v="0"/>
    <x v="2"/>
    <x v="114"/>
    <x v="13"/>
    <s v="RL CSM 450 Jushi 64kg 1800mm(W)"/>
    <x v="73"/>
    <s v="Ex"/>
    <n v="4"/>
    <s v="Roll"/>
    <n v="595.20000000000005"/>
    <n v="2380.8000000000002"/>
    <n v="737412.80000000016"/>
    <s v="21/12"/>
    <n v="4"/>
    <n v="0"/>
    <s v="DO174((4)"/>
    <m/>
  </r>
  <r>
    <d v="2021-12-24T00:00:00"/>
    <x v="0"/>
    <x v="2"/>
    <x v="115"/>
    <x v="13"/>
    <s v="RL CSM 450 Jushi 37kg 1040mm(W)"/>
    <x v="71"/>
    <s v="Ex"/>
    <n v="2"/>
    <s v="Roll"/>
    <n v="362.6"/>
    <n v="725.2"/>
    <n v="738138.00000000012"/>
    <s v="24/12"/>
    <n v="2"/>
    <n v="0"/>
    <s v="DO176(2)"/>
    <m/>
  </r>
  <r>
    <d v="2021-12-27T00:00:00"/>
    <x v="0"/>
    <x v="2"/>
    <x v="116"/>
    <x v="13"/>
    <s v="RL CSM 450 Jushi 37kg 1040mm(W)"/>
    <x v="71"/>
    <s v="Ex"/>
    <n v="2"/>
    <s v="Roll"/>
    <n v="362.6"/>
    <n v="725.2"/>
    <n v="738863.20000000007"/>
    <s v="27/12"/>
    <n v="2"/>
    <n v="0"/>
    <s v="DO177(2)"/>
    <m/>
  </r>
  <r>
    <d v="2021-12-27T00:00:00"/>
    <x v="0"/>
    <x v="2"/>
    <x v="117"/>
    <x v="0"/>
    <s v="RA CSM 450 (30Kg) 64m(L) x 1040mm(W)"/>
    <x v="74"/>
    <s v="Delivered"/>
    <n v="20"/>
    <s v="Roll"/>
    <n v="264"/>
    <n v="5280"/>
    <n v="744143.20000000007"/>
    <s v="28/12, 30/12"/>
    <n v="20"/>
    <n v="0"/>
    <s v="DO178(5), DO179(15)"/>
    <m/>
  </r>
  <r>
    <d v="2021-12-27T00:00:00"/>
    <x v="0"/>
    <x v="2"/>
    <x v="117"/>
    <x v="0"/>
    <s v="RA CSM 450 (60Kg) 64m(L) x 2080mm(W)"/>
    <x v="75"/>
    <s v="Delivered"/>
    <n v="20"/>
    <s v="Roll"/>
    <n v="528"/>
    <n v="10560"/>
    <n v="754703.20000000007"/>
    <s v="13/1/22, 14/1/22, 18/1/22, 26/2/22, 8/3/22, 14/3/22"/>
    <n v="20"/>
    <n v="0"/>
    <s v="DO189(11), DO190(2), D0193(4), DO207(1), DO210(1), DO216(1)"/>
    <m/>
  </r>
  <r>
    <d v="2021-12-31T00:00:00"/>
    <x v="0"/>
    <x v="2"/>
    <x v="118"/>
    <x v="0"/>
    <s v="RA CSM 450 (30Kg) 64m(L) x 1040mm(W)"/>
    <x v="74"/>
    <s v="Delivered"/>
    <n v="20"/>
    <s v="Roll"/>
    <n v="279"/>
    <n v="5580"/>
    <n v="760283.20000000007"/>
    <s v="3/1/22, 7/1/22, 8/1/22, 21/2/22"/>
    <n v="20"/>
    <n v="0"/>
    <s v="DO182(4), DO184(3), DO185(7), DO203(6)"/>
    <m/>
  </r>
  <r>
    <d v="2022-01-10T00:00:00"/>
    <x v="7"/>
    <x v="3"/>
    <x v="119"/>
    <x v="8"/>
    <s v="RG Resin 3317AW (220Kg)"/>
    <x v="70"/>
    <s v="Ex"/>
    <n v="4"/>
    <s v="Drum"/>
    <n v="1936"/>
    <n v="7744"/>
    <n v="768027.20000000007"/>
    <s v="10/1/22, 18/1/22"/>
    <n v="4"/>
    <n v="0"/>
    <s v="DO186(3), DO193(1)"/>
    <m/>
  </r>
  <r>
    <d v="2022-01-10T00:00:00"/>
    <x v="7"/>
    <x v="3"/>
    <x v="119"/>
    <x v="8"/>
    <s v="RG Nor 3338W (220Kg)"/>
    <x v="63"/>
    <s v="Ex"/>
    <n v="6"/>
    <s v="Drum"/>
    <n v="1936"/>
    <n v="11616"/>
    <n v="779643.20000000007"/>
    <s v="10/1/22, 13/1/22"/>
    <n v="6"/>
    <n v="0"/>
    <s v="DO187(4), DO188(2)"/>
    <m/>
  </r>
  <r>
    <d v="2022-01-10T00:00:00"/>
    <x v="7"/>
    <x v="3"/>
    <x v="119"/>
    <x v="8"/>
    <s v="RG CSM 450 (30Kg) 64m(L) x 1040mm(W)"/>
    <x v="76"/>
    <s v="Ex"/>
    <n v="20"/>
    <s v="Roll"/>
    <n v="270"/>
    <n v="5400"/>
    <n v="785043.20000000007"/>
    <s v="10/1/22"/>
    <n v="20"/>
    <n v="0"/>
    <s v="DO187(20)"/>
    <m/>
  </r>
  <r>
    <d v="2022-01-10T00:00:00"/>
    <x v="7"/>
    <x v="3"/>
    <x v="119"/>
    <x v="8"/>
    <s v="RG CSM 300 (30Kg) 64m(L) x 1040mm(W)"/>
    <x v="77"/>
    <s v="Ex"/>
    <n v="2"/>
    <s v="Roll"/>
    <n v="270"/>
    <n v="540"/>
    <n v="785583.20000000007"/>
    <s v="10/1/22, 14/1/22"/>
    <n v="2"/>
    <n v="0"/>
    <s v="DO186(1), DO190(1)"/>
    <m/>
  </r>
  <r>
    <d v="2022-01-14T00:00:00"/>
    <x v="7"/>
    <x v="3"/>
    <x v="120"/>
    <x v="8"/>
    <s v="RG Resin 3317AW (220Kg)"/>
    <x v="70"/>
    <s v="Ex"/>
    <n v="8"/>
    <s v="Drum"/>
    <n v="1936"/>
    <n v="15488"/>
    <n v="801071.20000000007"/>
    <s v="13/1/22"/>
    <n v="8"/>
    <n v="0"/>
    <s v="DO189(8)"/>
    <m/>
  </r>
  <r>
    <d v="2022-01-14T00:00:00"/>
    <x v="7"/>
    <x v="3"/>
    <x v="120"/>
    <x v="8"/>
    <s v="RG Nor 3338W (220Kg)"/>
    <x v="63"/>
    <s v="Ex"/>
    <n v="2"/>
    <s v="Drum"/>
    <n v="1936"/>
    <n v="3872"/>
    <n v="804943.20000000007"/>
    <s v="14/1/22"/>
    <n v="2"/>
    <n v="0"/>
    <s v="DO190(2)"/>
    <m/>
  </r>
  <r>
    <d v="2022-01-14T00:00:00"/>
    <x v="7"/>
    <x v="3"/>
    <x v="120"/>
    <x v="8"/>
    <s v="RG Woven Roving E-600 (45kg) 1120mm"/>
    <x v="78"/>
    <s v="Ex"/>
    <n v="20"/>
    <s v="Roll"/>
    <n v="283.5"/>
    <n v="5670"/>
    <n v="810613.20000000007"/>
    <s v="13/1/22, 18/1/22, 24/2/22, 8/3/22, 14/3/22, 15/3/22"/>
    <n v="20"/>
    <n v="0"/>
    <s v="DO189(11), DO193(5), DO206(1), DO210(1), DO216(1), DO218(1)"/>
    <m/>
  </r>
  <r>
    <d v="2022-01-06T00:00:00"/>
    <x v="7"/>
    <x v="3"/>
    <x v="121"/>
    <x v="6"/>
    <s v="RE Frekote 770NC (1 Gallon)"/>
    <x v="42"/>
    <s v="Ex"/>
    <n v="4"/>
    <s v="Tin"/>
    <n v="305"/>
    <n v="1220"/>
    <n v="811833.20000000007"/>
    <s v="6/1/22, 10/2/22, 22/2/22"/>
    <n v="4"/>
    <n v="0"/>
    <s v="DO183(1), DO198(2), DO205(1)"/>
    <m/>
  </r>
  <r>
    <d v="2022-01-14T00:00:00"/>
    <x v="7"/>
    <x v="3"/>
    <x v="122"/>
    <x v="8"/>
    <s v="RG CSM 300 (30Kg) 64m(L) x 1040mm(W)"/>
    <x v="77"/>
    <s v="Ex"/>
    <n v="6"/>
    <s v="Roll"/>
    <n v="270"/>
    <n v="1620"/>
    <n v="813453.20000000007"/>
    <s v="14/1/22, 25/1/22, 26/2/22"/>
    <n v="6"/>
    <n v="0"/>
    <s v="DO191(4), DO196(1), DO197(1)"/>
    <m/>
  </r>
  <r>
    <d v="2022-01-14T00:00:00"/>
    <x v="7"/>
    <x v="3"/>
    <x v="122"/>
    <x v="8"/>
    <s v="RG CSM 450 (30Kg) 64m(L) x 1040mm(W)"/>
    <x v="76"/>
    <s v="Ex"/>
    <n v="4"/>
    <s v="Roll"/>
    <n v="270"/>
    <n v="1080"/>
    <n v="814533.20000000007"/>
    <s v="17/2/22"/>
    <n v="4"/>
    <n v="0"/>
    <s v="DO200(4)"/>
    <m/>
  </r>
  <r>
    <d v="2022-01-17T00:00:00"/>
    <x v="7"/>
    <x v="3"/>
    <x v="123"/>
    <x v="8"/>
    <s v="RG Resin 3317AW (220Kg)"/>
    <x v="70"/>
    <s v="Ex"/>
    <n v="4"/>
    <s v="Drum"/>
    <n v="1936"/>
    <n v="7744"/>
    <n v="822277.20000000007"/>
    <s v="18/1/22, 19/2/22"/>
    <n v="4"/>
    <n v="0"/>
    <s v="DO193(2), DO202(2)"/>
    <m/>
  </r>
  <r>
    <d v="2022-01-17T00:00:00"/>
    <x v="7"/>
    <x v="3"/>
    <x v="123"/>
    <x v="8"/>
    <s v="RG Nor 3338NW (220Kg)"/>
    <x v="79"/>
    <s v="Ex"/>
    <n v="1"/>
    <s v="Drum"/>
    <n v="1936"/>
    <n v="1936"/>
    <n v="824213.20000000007"/>
    <s v="17/1/22"/>
    <n v="1"/>
    <n v="0"/>
    <s v="DO192(1)"/>
    <m/>
  </r>
  <r>
    <d v="2022-01-17T00:00:00"/>
    <x v="7"/>
    <x v="3"/>
    <x v="123"/>
    <x v="8"/>
    <s v="RG TR104 Hi Temp Wax"/>
    <x v="80"/>
    <s v="Ex"/>
    <n v="12"/>
    <s v="Tin"/>
    <n v="46"/>
    <n v="552"/>
    <n v="824765.20000000007"/>
    <s v="6/1/22, 14/5/22, 11/10/22, 17/10/22, 29/11/22"/>
    <n v="11"/>
    <n v="1"/>
    <s v="DO183(3), DO264(2), DO344(1), DO348(2), DO373(3)"/>
    <m/>
  </r>
  <r>
    <d v="2022-01-17T00:00:00"/>
    <x v="7"/>
    <x v="3"/>
    <x v="124"/>
    <x v="0"/>
    <s v="RA Talcum Powder (25kg)"/>
    <x v="10"/>
    <s v="Delivered"/>
    <n v="40"/>
    <s v="Bag"/>
    <n v="32.5"/>
    <n v="1300"/>
    <n v="826065.20000000007"/>
    <s v="22/2/22, 8/3/22, 9/3/22, 11/3/22, 19/3/22, 23/3/22, 25/3/22, 29/3/22, 29/3/22, 1/4/22, 1/4/22"/>
    <n v="40"/>
    <n v="0"/>
    <s v="DO205(1), DO211(10), DO212(1), DO213(5), DO221(10). DO223(2), DO224(4), DO226(2), DO227(2), DO228(3)"/>
    <m/>
  </r>
  <r>
    <d v="2022-01-17T00:00:00"/>
    <x v="7"/>
    <x v="3"/>
    <x v="124"/>
    <x v="0"/>
    <s v="RA Nor 3338W (220Kg)"/>
    <x v="9"/>
    <s v="Delivered"/>
    <n v="15"/>
    <s v="Drum"/>
    <n v="1815"/>
    <n v="27225"/>
    <n v="853290.20000000007"/>
    <s v="17/1/22, 22/1/22, 24/1/22, 25/1/22, 26/1/22"/>
    <n v="15"/>
    <n v="0"/>
    <s v="DO192(3), DO194(1), DO195(6), D0196(1), DO197(4)"/>
    <m/>
  </r>
  <r>
    <d v="2022-01-17T00:00:00"/>
    <x v="7"/>
    <x v="3"/>
    <x v="124"/>
    <x v="0"/>
    <s v="RA Accelerator (5Kg)"/>
    <x v="18"/>
    <s v="Delivered"/>
    <n v="1"/>
    <s v="Can"/>
    <n v="345"/>
    <n v="345"/>
    <n v="853635.20000000007"/>
    <s v="17/1/22"/>
    <n v="1"/>
    <n v="0"/>
    <s v="D0192(1)"/>
    <m/>
  </r>
  <r>
    <d v="2022-01-17T00:00:00"/>
    <x v="7"/>
    <x v="3"/>
    <x v="124"/>
    <x v="0"/>
    <s v="RA Mepoxe M (5kg)"/>
    <x v="36"/>
    <s v="Delivered"/>
    <n v="20"/>
    <s v="Bottle"/>
    <n v="65"/>
    <n v="1300"/>
    <n v="854935.20000000007"/>
    <s v="24/1/22, 15/2/22, 21/2/22, 24/2/22, 5/3/22, 15/3/22, 19/3/22"/>
    <n v="20"/>
    <n v="0"/>
    <s v="DO195(3), DO199(4), DO203(2), DO206(4), DO209(1), DO218(4), DO221(2)"/>
    <m/>
  </r>
  <r>
    <d v="2022-01-17T00:00:00"/>
    <x v="7"/>
    <x v="3"/>
    <x v="125"/>
    <x v="0"/>
    <s v="RA Nor 3338W (220Kg)"/>
    <x v="9"/>
    <s v="Delivered"/>
    <n v="5"/>
    <s v="Drum"/>
    <n v="1815"/>
    <n v="9075"/>
    <n v="864010.20000000007"/>
    <s v="26/1/22, 10/2/22, 17/2/22"/>
    <n v="5"/>
    <n v="0"/>
    <s v="DO197(1), DO198(2), DO200(2)"/>
    <m/>
  </r>
  <r>
    <d v="2022-01-26T00:00:00"/>
    <x v="7"/>
    <x v="3"/>
    <x v="126"/>
    <x v="8"/>
    <s v="RG Nor 3338W (220Kg)"/>
    <x v="63"/>
    <s v="Ex"/>
    <n v="9"/>
    <s v="Drum"/>
    <n v="1936"/>
    <n v="17424"/>
    <n v="881434.20000000007"/>
    <s v="17/2/22, 18/2/22, 22/2/22, 24/2/22"/>
    <n v="9"/>
    <n v="0"/>
    <s v="DO200(4), DO201(2), DO205(2), DO206(1)"/>
    <m/>
  </r>
  <r>
    <d v="2022-01-26T00:00:00"/>
    <x v="7"/>
    <x v="3"/>
    <x v="126"/>
    <x v="8"/>
    <s v="RG Nor 3338NW (220Kg)"/>
    <x v="79"/>
    <s v="Ex"/>
    <n v="1"/>
    <s v="Drum"/>
    <n v="1936"/>
    <n v="1936"/>
    <n v="883370.20000000007"/>
    <s v="26/1/22"/>
    <n v="1"/>
    <n v="0"/>
    <s v="DO197(1)"/>
    <m/>
  </r>
  <r>
    <d v="2022-01-26T00:00:00"/>
    <x v="7"/>
    <x v="3"/>
    <x v="126"/>
    <x v="8"/>
    <s v="RG CSM 450 (30Kg) 64m(L) x 1040mm(W)"/>
    <x v="76"/>
    <s v="Ex"/>
    <n v="20"/>
    <s v="Roll"/>
    <n v="270"/>
    <n v="5400"/>
    <n v="888770.20000000007"/>
    <s v="17/2/22, 5/3/22, 8/3/22, 15/3/22"/>
    <n v="20"/>
    <n v="0"/>
    <s v="DO200(1), DO209(8), DO211(10), DO217(1)"/>
    <m/>
  </r>
  <r>
    <d v="2022-01-26T00:00:00"/>
    <x v="7"/>
    <x v="3"/>
    <x v="126"/>
    <x v="8"/>
    <s v="RG CSM 450 Jushi 54kg 1860mm(W)"/>
    <x v="81"/>
    <s v="Ex"/>
    <n v="10"/>
    <s v="Roll"/>
    <n v="486"/>
    <n v="4860"/>
    <n v="893630.20000000007"/>
    <s v="24/3/21, 10/2/22, 22/2/22, 11/3/22, 8/4/22, 21/4/22"/>
    <n v="10"/>
    <n v="0"/>
    <s v="DO89(1), DO198(2), DO205(1), DO213(3), DO232(2), DO246(1)"/>
    <m/>
  </r>
  <r>
    <d v="2022-01-26T00:00:00"/>
    <x v="7"/>
    <x v="3"/>
    <x v="126"/>
    <x v="8"/>
    <s v="RG CSM 300 (30Kg) 64m(L) x 1040mm(W)"/>
    <x v="77"/>
    <s v="Ex"/>
    <n v="5"/>
    <s v="Roll"/>
    <n v="270"/>
    <n v="1350"/>
    <n v="894980.20000000007"/>
    <s v="26/1/22, 15/2/22"/>
    <n v="5"/>
    <n v="0"/>
    <s v="DO197(4), DO199(1)"/>
    <m/>
  </r>
  <r>
    <d v="2022-02-14T00:00:00"/>
    <x v="8"/>
    <x v="3"/>
    <x v="127"/>
    <x v="8"/>
    <s v="RG CSM 300 (30Kg) 64m(L) x 1040mm(W)"/>
    <x v="77"/>
    <s v="Ex"/>
    <n v="10"/>
    <s v="Roll"/>
    <n v="270"/>
    <n v="2700"/>
    <n v="897680.20000000007"/>
    <s v="15/2/22, 26/2/22, 8/3/22, 1/4/22, 11/5/22, 15/8/22"/>
    <n v="10"/>
    <n v="0"/>
    <s v="DO199(3), DO208(1), DO210(2), DO230(2), DO261(1), DO313(1)"/>
    <m/>
  </r>
  <r>
    <d v="2022-02-14T00:00:00"/>
    <x v="8"/>
    <x v="3"/>
    <x v="128"/>
    <x v="0"/>
    <s v="RA Resin 3317AW (220Kg)"/>
    <x v="17"/>
    <s v="Delivered"/>
    <n v="15"/>
    <s v="Drum"/>
    <n v="1815"/>
    <n v="27225"/>
    <n v="924905.20000000007"/>
    <s v="19/2/22, 21/2/22, 24/2/22, 26/2/22, 5/3/22, 14/3/22, 15/3/22, 18/3/22"/>
    <n v="15"/>
    <n v="0"/>
    <s v="DO202(1), DO203(2), DO206(2), DO207(1), DO209(2), DO216(1), DO218(3), DO220(3)"/>
    <m/>
  </r>
  <r>
    <d v="2022-02-18T00:00:00"/>
    <x v="8"/>
    <x v="3"/>
    <x v="129"/>
    <x v="0"/>
    <s v="RA Nor 3338W (220Kg)"/>
    <x v="9"/>
    <s v="Delivered"/>
    <n v="15"/>
    <s v="Drum"/>
    <n v="1815"/>
    <n v="27225"/>
    <n v="952130.20000000007"/>
    <s v="8/3/22, 11/3/22, 12/3/22, 15/3/22"/>
    <n v="15"/>
    <n v="0"/>
    <s v="DO202(1), DO203(2), DO206(2), DO207(1), DO209(2), DO216(1), DO218(3)"/>
    <m/>
  </r>
  <r>
    <d v="2022-02-18T00:00:00"/>
    <x v="8"/>
    <x v="3"/>
    <x v="130"/>
    <x v="14"/>
    <s v="RM Nor 3338NW (220Kg)"/>
    <x v="82"/>
    <s v="Ex"/>
    <n v="1"/>
    <s v="Drum"/>
    <n v="1804"/>
    <n v="1804"/>
    <n v="953934.20000000007"/>
    <s v="18/2/22"/>
    <n v="1"/>
    <n v="0"/>
    <s v="DO201(1)"/>
    <m/>
  </r>
  <r>
    <d v="2022-02-21T00:00:00"/>
    <x v="8"/>
    <x v="3"/>
    <x v="131"/>
    <x v="0"/>
    <s v="RA Pigment Super White (5Kg)"/>
    <x v="37"/>
    <s v="Delivered"/>
    <n v="1"/>
    <s v="Tin"/>
    <n v="110"/>
    <n v="110"/>
    <n v="954044.20000000007"/>
    <s v="21/2/22"/>
    <n v="1"/>
    <n v="0"/>
    <s v="DO204(1)"/>
    <m/>
  </r>
  <r>
    <d v="2022-02-24T00:00:00"/>
    <x v="8"/>
    <x v="3"/>
    <x v="131"/>
    <x v="0"/>
    <s v="RA Butanox M50 (5kg)"/>
    <x v="7"/>
    <s v="Delivered"/>
    <n v="12"/>
    <s v="Bottle"/>
    <n v="90"/>
    <n v="1080"/>
    <n v="955124.20000000007"/>
    <s v="17/3/22, 8/4/22, 8/4/22, 22/4/22"/>
    <n v="12"/>
    <n v="0"/>
    <s v="DO219(2), DO232(2), DO233(6), DO248(2)"/>
    <m/>
  </r>
  <r>
    <d v="2022-02-24T00:00:00"/>
    <x v="8"/>
    <x v="3"/>
    <x v="131"/>
    <x v="0"/>
    <s v="RA Aerosil (Silica Fume) (10Kg)"/>
    <x v="32"/>
    <s v="Delivered"/>
    <n v="2"/>
    <s v="Bag"/>
    <n v="390"/>
    <n v="780"/>
    <n v="955904.20000000007"/>
    <s v="15/3/22"/>
    <n v="2"/>
    <n v="0"/>
    <s v="DO217(2)"/>
    <m/>
  </r>
  <r>
    <d v="2022-03-07T00:00:00"/>
    <x v="9"/>
    <x v="3"/>
    <x v="132"/>
    <x v="14"/>
    <s v="RM Nor 3338NW (220Kg)"/>
    <x v="82"/>
    <s v="Ex"/>
    <n v="1"/>
    <s v="Drum"/>
    <n v="1859"/>
    <n v="1859"/>
    <n v="957763.20000000007"/>
    <s v="8/3/22"/>
    <n v="1"/>
    <n v="0"/>
    <s v="DO210(1)"/>
    <m/>
  </r>
  <r>
    <d v="2022-03-07T00:00:00"/>
    <x v="9"/>
    <x v="3"/>
    <x v="132"/>
    <x v="14"/>
    <s v="RM Wax Solution 54-56 (10L)"/>
    <x v="83"/>
    <s v="Ex"/>
    <n v="1"/>
    <s v="Pail"/>
    <n v="160"/>
    <n v="160"/>
    <n v="957923.20000000007"/>
    <s v="8/3/22"/>
    <n v="1"/>
    <n v="0"/>
    <s v="DO210(1)"/>
    <m/>
  </r>
  <r>
    <d v="2022-03-07T00:00:00"/>
    <x v="9"/>
    <x v="3"/>
    <x v="132"/>
    <x v="14"/>
    <s v="RM NPG Gelcoat 9319-H (25Kg)"/>
    <x v="84"/>
    <s v="Ex"/>
    <n v="1"/>
    <s v="Pail"/>
    <n v="310"/>
    <n v="310"/>
    <n v="958233.20000000007"/>
    <s v="8/3/22"/>
    <n v="1"/>
    <n v="0"/>
    <s v="DO210(1)"/>
    <m/>
  </r>
  <r>
    <d v="2022-03-07T00:00:00"/>
    <x v="9"/>
    <x v="3"/>
    <x v="132"/>
    <x v="14"/>
    <s v="RM Pgment Paste Riviera Blue B5 (5Kg)"/>
    <x v="85"/>
    <s v="Ex"/>
    <n v="2"/>
    <s v="Tin"/>
    <n v="185"/>
    <n v="370"/>
    <n v="958603.20000000007"/>
    <s v="8/3/22"/>
    <n v="2"/>
    <n v="0"/>
    <s v="DO210(2)"/>
    <m/>
  </r>
  <r>
    <d v="2022-03-10T00:00:00"/>
    <x v="9"/>
    <x v="3"/>
    <x v="133"/>
    <x v="6"/>
    <s v="RE Frekote 770NC (1 Gallon)"/>
    <x v="42"/>
    <s v="Ex"/>
    <n v="4"/>
    <s v="Tin"/>
    <n v="305"/>
    <n v="1220"/>
    <n v="959823.20000000007"/>
    <s v="11/3/22, 12/3/22, 8/4/22"/>
    <n v="4"/>
    <n v="0"/>
    <s v="DO213(1), DO214(1), DO232(2)"/>
    <m/>
  </r>
  <r>
    <d v="2022-03-10T00:00:00"/>
    <x v="9"/>
    <x v="3"/>
    <x v="134"/>
    <x v="14"/>
    <s v="RM CSM 450 (30Kg) 64m(L) x 1040mm(W)"/>
    <x v="86"/>
    <s v="Delivered"/>
    <n v="20"/>
    <s v="Roll"/>
    <n v="273"/>
    <n v="5460"/>
    <n v="965283.20000000007"/>
    <s v="15/3/22,  18/3/22, 19/2/22, 25/3/22"/>
    <n v="20"/>
    <n v="0"/>
    <s v="DO217(4), DO220(7), DO221(6), DO224(3)"/>
    <m/>
  </r>
  <r>
    <d v="2022-03-10T00:00:00"/>
    <x v="9"/>
    <x v="3"/>
    <x v="134"/>
    <x v="14"/>
    <s v="RM CSM 450 (60Kg) 64m(L) x 2080mm(W)"/>
    <x v="87"/>
    <s v="Delivered"/>
    <n v="10"/>
    <s v="Roll"/>
    <n v="546"/>
    <n v="5460"/>
    <n v="970743.20000000007"/>
    <s v="15/3/22, 1/4/22, 9/4/22"/>
    <n v="10"/>
    <n v="0"/>
    <s v="DO218(6), DO229(3), DO234(1)"/>
    <m/>
  </r>
  <r>
    <d v="2022-03-12T00:00:00"/>
    <x v="9"/>
    <x v="3"/>
    <x v="135"/>
    <x v="11"/>
    <s v="RJ Mepoxe (5kg)"/>
    <x v="88"/>
    <s v="Ex"/>
    <n v="24"/>
    <s v="Bottle"/>
    <n v="55"/>
    <n v="1320"/>
    <n v="972063.20000000007"/>
    <s v="1/4/22, 1/4/22, 5/4/22, 9/4/22, 14/4/22, 15/4/22, 16/4/22, 16/4/22"/>
    <n v="24"/>
    <n v="0"/>
    <s v="DO227(4), DO228(2), DO231(4), DO236(1), DO240(2), DO241(1), DO242(4), DO243(6)"/>
    <m/>
  </r>
  <r>
    <d v="2022-03-17T00:00:00"/>
    <x v="9"/>
    <x v="3"/>
    <x v="136"/>
    <x v="0"/>
    <s v="RA Resin 3317AW (220Kg)"/>
    <x v="17"/>
    <s v="Delivered"/>
    <n v="10"/>
    <s v="Drum"/>
    <n v="1870"/>
    <n v="18700"/>
    <n v="990763.20000000007"/>
    <s v="19/3/22, 23/3/22, 29/3/22, 1/4/22, 1/4/22, 8/4/22"/>
    <n v="10"/>
    <n v="0"/>
    <s v="DO221(2), DO223(3), DO225(1), DO228(2), DO229(1), DO233(1)"/>
    <m/>
  </r>
  <r>
    <d v="2022-03-17T00:00:00"/>
    <x v="9"/>
    <x v="3"/>
    <x v="136"/>
    <x v="0"/>
    <s v="RA Nor 3338W (220Kg)"/>
    <x v="9"/>
    <s v="Delivered"/>
    <n v="10"/>
    <s v="Drum"/>
    <n v="1815"/>
    <n v="18150"/>
    <n v="1008913.2000000001"/>
    <s v="25/3/22, 29/3/22, 1/4/22, 1/4/22, 1/4/22"/>
    <n v="10"/>
    <n v="0"/>
    <s v="DO224(4), DO226(2), DO227(1), DO229(2), DO230(1)"/>
    <m/>
  </r>
  <r>
    <d v="2022-03-18T00:00:00"/>
    <x v="9"/>
    <x v="3"/>
    <x v="28"/>
    <x v="14"/>
    <s v="RM Woven Roving E-600gm 1000mm (40Kg)"/>
    <x v="89"/>
    <s v="Ex"/>
    <n v="5"/>
    <s v="Roll"/>
    <n v="258"/>
    <n v="1290"/>
    <n v="1010203.2000000001"/>
    <s v="18/3/22"/>
    <n v="5"/>
    <n v="0"/>
    <s v="DO220(5)"/>
    <m/>
  </r>
  <r>
    <d v="2022-03-18T00:00:00"/>
    <x v="9"/>
    <x v="3"/>
    <x v="28"/>
    <x v="14"/>
    <s v="RM Cobalt (5kg)"/>
    <x v="90"/>
    <s v="Ex"/>
    <n v="1"/>
    <s v="Can"/>
    <n v="250"/>
    <n v="250"/>
    <n v="1010453.2000000001"/>
    <s v="19/3/22"/>
    <n v="1"/>
    <n v="0"/>
    <s v="DO221(1)"/>
    <m/>
  </r>
  <r>
    <d v="2022-03-18T00:00:00"/>
    <x v="9"/>
    <x v="3"/>
    <x v="28"/>
    <x v="14"/>
    <s v="RM NPG Gelcoat 9319-H (25Kg)"/>
    <x v="84"/>
    <s v="Ex"/>
    <n v="1"/>
    <s v="Pail"/>
    <n v="310"/>
    <n v="310"/>
    <n v="1010763.2000000001"/>
    <s v="22/3/22"/>
    <n v="1"/>
    <n v="0"/>
    <s v="DO222(1)"/>
    <m/>
  </r>
  <r>
    <d v="2022-03-18T00:00:00"/>
    <x v="9"/>
    <x v="3"/>
    <x v="28"/>
    <x v="14"/>
    <s v="RM Acetone (163Kg)"/>
    <x v="91"/>
    <s v="Ex"/>
    <n v="1"/>
    <s v="Drum"/>
    <n v="896.5"/>
    <n v="896.5"/>
    <n v="1011659.7000000001"/>
    <s v="19/3/22"/>
    <n v="1"/>
    <n v="0"/>
    <s v="DO221(1)"/>
    <m/>
  </r>
  <r>
    <d v="2022-03-18T00:00:00"/>
    <x v="9"/>
    <x v="3"/>
    <x v="28"/>
    <x v="14"/>
    <s v="RM Pigment Paste Smooth Cream M19 (25kg)"/>
    <x v="92"/>
    <s v="Ex"/>
    <n v="1"/>
    <s v="Pail"/>
    <n v="650"/>
    <n v="650"/>
    <n v="1012309.7000000001"/>
    <s v="25/3/22"/>
    <n v="1"/>
    <n v="0"/>
    <s v="DO224(1)"/>
    <m/>
  </r>
  <r>
    <s v="22/3/2022"/>
    <x v="9"/>
    <x v="3"/>
    <x v="28"/>
    <x v="0"/>
    <s v="RA CSM 300 TWL 54Kg 96m(L) X 1860mm(W)"/>
    <x v="14"/>
    <s v="Delivered"/>
    <n v="20"/>
    <s v="Roll"/>
    <n v="475.2"/>
    <n v="9504"/>
    <n v="1021813.7000000001"/>
    <s v="9/4/22, 21/4/22, 12/5/22, 4/8/22, 15/8/22, 28/9/22, 18/10/22, 20/10/22, 3/11/22"/>
    <n v="20"/>
    <n v="0"/>
    <s v="DO234(1), DO246(3), DO262(2), DO306(2), DO312(4), DO336(2), DO350(2), DO351(3), DO360(1)"/>
    <m/>
  </r>
  <r>
    <s v="22/3/2022"/>
    <x v="9"/>
    <x v="3"/>
    <x v="28"/>
    <x v="0"/>
    <s v="RA Talcum Powder (25kg)"/>
    <x v="10"/>
    <s v="Delivered"/>
    <n v="40"/>
    <s v="Bag"/>
    <n v="32.5"/>
    <n v="1300"/>
    <n v="1023113.7000000001"/>
    <s v="1/4/22, 1/4/22, 5/4/22, 8/4/22, 8/4/22, 9/4/22, 9/4/22, 13/4/22, 16/4/22, 16/4/22, 20/4/22, 23/4/22, 26/4/22"/>
    <n v="40"/>
    <n v="0"/>
    <s v="DO228(7), DO229(3), DO231(3), DO232(3), DO233(4), DO235(3), DO236(1), DO239(3), DO242(3), DO243(5), DO245(1), DO249(2), DO250(2)"/>
    <m/>
  </r>
  <r>
    <d v="2022-03-23T00:00:00"/>
    <x v="9"/>
    <x v="3"/>
    <x v="28"/>
    <x v="14"/>
    <s v="RM CSM 450 (30Kg) 64m(L) x 1040mm(W)"/>
    <x v="86"/>
    <s v="Delivered"/>
    <n v="20"/>
    <s v="Roll"/>
    <n v="273"/>
    <n v="5460"/>
    <n v="1028573.7000000001"/>
    <s v="25/3/22, 29/3/22, 29/3/22, 5/4/22"/>
    <n v="20"/>
    <n v="0"/>
    <s v="DO224(7), DO225(4), DO226(8), DO231(1)"/>
    <m/>
  </r>
  <r>
    <d v="2022-03-23T00:00:00"/>
    <x v="9"/>
    <x v="3"/>
    <x v="28"/>
    <x v="14"/>
    <s v="RM Woven Roving E-600gm 1000mm (40Kg)"/>
    <x v="89"/>
    <s v="Delivered"/>
    <n v="10"/>
    <s v="Roll"/>
    <n v="258"/>
    <n v="2580"/>
    <n v="1031153.7000000001"/>
    <s v="25/3/22, 29/3/22, 1/4/22"/>
    <n v="10"/>
    <n v="0"/>
    <s v="DO224(6). DO226(3), DO230(1)"/>
    <m/>
  </r>
  <r>
    <d v="2022-03-23T00:00:00"/>
    <x v="9"/>
    <x v="3"/>
    <x v="28"/>
    <x v="14"/>
    <s v="RM CSM 450 (30Kg) 64m(L) x 1040mm(W)"/>
    <x v="86"/>
    <s v="Ex"/>
    <n v="4"/>
    <s v="Roll"/>
    <n v="273"/>
    <n v="1092"/>
    <n v="1032245.7000000001"/>
    <s v="23/3/22"/>
    <n v="4"/>
    <n v="0"/>
    <s v="DO223(4)"/>
    <m/>
  </r>
  <r>
    <d v="2022-03-23T00:00:00"/>
    <x v="9"/>
    <x v="3"/>
    <x v="28"/>
    <x v="14"/>
    <s v="RM Woven Roving E-600gm 1000mm (40Kg)"/>
    <x v="89"/>
    <s v="Ex"/>
    <n v="4"/>
    <s v="Roll"/>
    <n v="258"/>
    <n v="1032"/>
    <n v="1033277.7000000001"/>
    <s v="23/3/22"/>
    <n v="4"/>
    <n v="0"/>
    <s v="DO223(4)"/>
    <m/>
  </r>
  <r>
    <d v="2022-03-30T00:00:00"/>
    <x v="9"/>
    <x v="3"/>
    <x v="28"/>
    <x v="14"/>
    <s v="RM Pgment Paste Riviera Blue B5 (5Kg)"/>
    <x v="85"/>
    <s v="Ex"/>
    <n v="2"/>
    <s v="Tin"/>
    <n v="180"/>
    <n v="360"/>
    <n v="1033637.7000000001"/>
    <s v="1/4/22"/>
    <n v="2"/>
    <n v="0"/>
    <s v="DO230(2)"/>
    <m/>
  </r>
  <r>
    <d v="2022-04-01T00:00:00"/>
    <x v="10"/>
    <x v="3"/>
    <x v="28"/>
    <x v="14"/>
    <s v="RM Polycor GS-H Gelcoat (25Kg)"/>
    <x v="93"/>
    <s v="Ex"/>
    <n v="1"/>
    <s v="Pail"/>
    <n v="321.25"/>
    <n v="321.25"/>
    <n v="1033958.9500000001"/>
    <s v="1/4/22"/>
    <n v="1"/>
    <n v="0"/>
    <s v="DO228(1)"/>
    <m/>
  </r>
  <r>
    <d v="2022-04-01T00:00:00"/>
    <x v="10"/>
    <x v="3"/>
    <x v="28"/>
    <x v="14"/>
    <s v="RM Pigment Paste Smooth Cream M19 (25kg)"/>
    <x v="92"/>
    <s v="Ex"/>
    <n v="1"/>
    <s v="Pail"/>
    <n v="650"/>
    <n v="650"/>
    <n v="1034608.9500000001"/>
    <s v="1/4/22"/>
    <n v="1"/>
    <n v="0"/>
    <s v="DO227(1)"/>
    <m/>
  </r>
  <r>
    <d v="2022-04-01T00:00:00"/>
    <x v="10"/>
    <x v="3"/>
    <x v="28"/>
    <x v="14"/>
    <s v="RM CSM 450 (30Kg) 64m(L) x 1040mm(W)"/>
    <x v="86"/>
    <s v="Ex"/>
    <n v="3"/>
    <s v="Roll"/>
    <n v="273"/>
    <n v="819"/>
    <n v="1035427.9500000001"/>
    <s v="1/4/22"/>
    <n v="3"/>
    <n v="0"/>
    <s v="DO227(1)"/>
    <m/>
  </r>
  <r>
    <d v="2022-04-01T00:00:00"/>
    <x v="10"/>
    <x v="3"/>
    <x v="28"/>
    <x v="14"/>
    <s v="RM Woven Roving E-600gm 1000mm (40Kg)"/>
    <x v="89"/>
    <s v="Ex"/>
    <n v="3"/>
    <s v="Roll"/>
    <n v="258"/>
    <n v="774"/>
    <n v="1036201.9500000001"/>
    <s v="1/4/22"/>
    <n v="3"/>
    <n v="0"/>
    <s v="DO229(3)"/>
    <m/>
  </r>
  <r>
    <d v="2022-04-04T00:00:00"/>
    <x v="10"/>
    <x v="3"/>
    <x v="28"/>
    <x v="0"/>
    <s v="RA Nor 3338W (220Kg)"/>
    <x v="9"/>
    <s v="Delivered"/>
    <n v="10"/>
    <s v="Drum"/>
    <n v="1870"/>
    <n v="18700"/>
    <n v="1054901.9500000002"/>
    <s v="5/4/22, 8/4/22, 9/4/22, 13/4/22"/>
    <n v="10"/>
    <n v="0"/>
    <s v="DO231(3), DO232(2), DO234(2), DO239(3)"/>
    <m/>
  </r>
  <r>
    <d v="2022-04-05T00:00:00"/>
    <x v="10"/>
    <x v="3"/>
    <x v="28"/>
    <x v="14"/>
    <s v="RM CSM 450 (30Kg) 64m(L) x 1040mm(W)"/>
    <x v="86"/>
    <s v="Delivered"/>
    <n v="10"/>
    <s v="Roll"/>
    <n v="273"/>
    <n v="2730"/>
    <n v="1057631.9500000002"/>
    <s v="5/4/22, 9/4/22, 9/4/22"/>
    <n v="10"/>
    <n v="0"/>
    <s v="DO231(5), DO235(4), DO236(1)"/>
    <m/>
  </r>
  <r>
    <d v="2022-04-05T00:00:00"/>
    <x v="10"/>
    <x v="3"/>
    <x v="28"/>
    <x v="14"/>
    <s v="RM Woven Roving E-600gm 1000mm (40Kg)"/>
    <x v="89"/>
    <s v="Delivered"/>
    <n v="14"/>
    <s v="Roll"/>
    <n v="258"/>
    <n v="3612"/>
    <n v="1061243.9500000002"/>
    <s v="5/4/22, 9/4/22, 13/4/22, 16/4/22"/>
    <n v="14"/>
    <n v="0"/>
    <s v="DO231(3), DO235(3), DO239(6), DO242(2)"/>
    <m/>
  </r>
  <r>
    <d v="2022-04-05T00:00:00"/>
    <x v="10"/>
    <x v="3"/>
    <x v="28"/>
    <x v="14"/>
    <s v="RM Pigment Paste Smooth Cream M19 (25kg)"/>
    <x v="92"/>
    <s v="Delivered"/>
    <n v="3"/>
    <s v="Pail"/>
    <n v="650"/>
    <n v="1950"/>
    <n v="1063193.9500000002"/>
    <s v="5/4/22, 9/4/22, 19/4/22,"/>
    <n v="3"/>
    <n v="0"/>
    <s v="DO231(1), DO236(1), DO244(1)"/>
    <m/>
  </r>
  <r>
    <d v="2022-04-08T00:00:00"/>
    <x v="10"/>
    <x v="3"/>
    <x v="28"/>
    <x v="0"/>
    <s v="RA Resin 3317AW (220Kg)"/>
    <x v="17"/>
    <s v="Delivered"/>
    <n v="15"/>
    <s v="Drum"/>
    <n v="1947"/>
    <n v="29205"/>
    <n v="1092398.9500000002"/>
    <s v="8/4/22, 9/4/22, 9/4/22, 14/4/22, 15/4/22, 16/4/22, 22/4/22"/>
    <n v="15"/>
    <n v="0"/>
    <s v="DO233(2), DO235(3), DO236(1), DO240(2), DO241(1), DO243(5), DO248(1)"/>
    <m/>
  </r>
  <r>
    <d v="2022-04-11T00:00:00"/>
    <x v="10"/>
    <x v="3"/>
    <x v="137"/>
    <x v="6"/>
    <s v="RE Frekote 770NC (1 Gallon)"/>
    <x v="42"/>
    <s v="Delivered"/>
    <n v="4"/>
    <s v="Tin"/>
    <n v="320"/>
    <n v="1280"/>
    <n v="1093678.9500000002"/>
    <s v="12/4/22, 28/4/22, 23/5/22, 28/6/22"/>
    <n v="4"/>
    <n v="0"/>
    <s v="DO237(1), DO254(1), DO274(1), DO293(1)"/>
    <m/>
  </r>
  <r>
    <d v="2022-04-12T00:00:00"/>
    <x v="10"/>
    <x v="3"/>
    <x v="138"/>
    <x v="14"/>
    <s v="RM NPG Gelcoat 9319-H (5Kg)"/>
    <x v="94"/>
    <s v="Ex"/>
    <n v="2"/>
    <s v="Tin"/>
    <n v="69.5"/>
    <n v="139"/>
    <n v="1093817.9500000002"/>
    <s v="12/4/22"/>
    <n v="2"/>
    <n v="0"/>
    <s v="DO237(2)"/>
    <m/>
  </r>
  <r>
    <d v="2022-04-13T00:00:00"/>
    <x v="10"/>
    <x v="3"/>
    <x v="139"/>
    <x v="14"/>
    <s v="RM CSM 450 64m(L) X 1860mm(W) (54kg)"/>
    <x v="95"/>
    <s v="Ex"/>
    <n v="5"/>
    <s v="Roll"/>
    <n v="491.4"/>
    <n v="2457"/>
    <n v="1096274.9500000002"/>
    <s v="13/4/22"/>
    <n v="5"/>
    <n v="0"/>
    <s v="DO239(5)"/>
    <m/>
  </r>
  <r>
    <d v="2022-04-13T00:00:00"/>
    <x v="10"/>
    <x v="3"/>
    <x v="140"/>
    <x v="14"/>
    <s v="RM CSM 450 (30Kg) 64m(L) x 1040mm(W)"/>
    <x v="86"/>
    <s v="Delivered"/>
    <n v="10"/>
    <s v="Roll"/>
    <n v="273"/>
    <n v="2730"/>
    <n v="1099004.9500000002"/>
    <s v="12/4/22, 14/4/22, 16/4/22"/>
    <n v="10"/>
    <n v="0"/>
    <s v="DO238(2), DO240(5), DO242(3)"/>
    <m/>
  </r>
  <r>
    <d v="2022-04-13T00:00:00"/>
    <x v="10"/>
    <x v="3"/>
    <x v="140"/>
    <x v="14"/>
    <s v="RM Woven Roving E-600gm 1000mm (40Kg)"/>
    <x v="89"/>
    <s v="Delivered"/>
    <n v="2"/>
    <s v="Roll"/>
    <n v="258"/>
    <n v="516"/>
    <n v="1099520.9500000002"/>
    <s v="16/4/22"/>
    <n v="2"/>
    <n v="0"/>
    <s v="DO242(2)"/>
    <m/>
  </r>
  <r>
    <d v="2022-04-13T00:00:00"/>
    <x v="10"/>
    <x v="3"/>
    <x v="140"/>
    <x v="14"/>
    <s v="RM CSM 450 64m(L) X 1860mm(W) (54kg)"/>
    <x v="95"/>
    <s v="Delivered"/>
    <n v="16"/>
    <s v="Roll"/>
    <n v="491.4"/>
    <n v="7862.4"/>
    <n v="1107383.3500000001"/>
    <s v="21/4/22, 28/4/22, 21/5/22, 23/5/22, 28/6/22, 1/7/22, 12/7/22, 14/7/22"/>
    <n v="16"/>
    <n v="0"/>
    <s v="DO246(2), DO254(2), DO270(1), DO274(2), DO293(2), DO295(3), DO296(2), DO298(2)"/>
    <m/>
  </r>
  <r>
    <d v="2022-04-14T00:00:00"/>
    <x v="10"/>
    <x v="3"/>
    <x v="141"/>
    <x v="11"/>
    <s v="RJ Mepoxe (5kg)"/>
    <x v="88"/>
    <s v="Ex"/>
    <n v="20"/>
    <s v="Bottle"/>
    <n v="55"/>
    <n v="1100"/>
    <n v="1108483.3500000001"/>
    <s v="16/4/22, 20/4/22, 28/4/22, 6/5/22, 12/5/22, 21/5/22, 28/5/22, 10/6/22, 13/6/22, 18/6/22"/>
    <n v="20"/>
    <n v="0"/>
    <s v="DO243(2), DO245(1), DO252(2), DO257(4), DO263(4), DO270(1), DO277(1), DO284(1), DO286(2), DO289(2)"/>
    <m/>
  </r>
  <r>
    <d v="2022-04-14T00:00:00"/>
    <x v="10"/>
    <x v="3"/>
    <x v="28"/>
    <x v="14"/>
    <s v="RM CSM 450 (30Kg) 64m(L) x 1040mm(W)"/>
    <x v="86"/>
    <s v="Delivered"/>
    <n v="40"/>
    <s v="Roll"/>
    <n v="276"/>
    <n v="11040"/>
    <n v="1119523.3500000001"/>
    <s v="16/4/22, 16/4/22, 19/4/22, 20/4/22, 23/4/22, 26/4/22, 28/4/22, 28/4/22"/>
    <n v="40"/>
    <n v="0"/>
    <s v="DO242(4), DO243(9), DO244(6), DO245(1), DO249(8), DO250(3), DO252(4), DO253(5)"/>
    <m/>
  </r>
  <r>
    <d v="2022-04-16T00:00:00"/>
    <x v="10"/>
    <x v="3"/>
    <x v="28"/>
    <x v="14"/>
    <s v="RM Resin Nor 3338W (220Kg)"/>
    <x v="96"/>
    <s v="Delivered"/>
    <n v="3"/>
    <s v="Drum"/>
    <n v="1870"/>
    <n v="5610"/>
    <n v="1125133.3500000001"/>
    <s v="16/4/22"/>
    <n v="3"/>
    <n v="0"/>
    <s v="DO242(3)"/>
    <m/>
  </r>
  <r>
    <d v="2022-04-20T00:00:00"/>
    <x v="10"/>
    <x v="3"/>
    <x v="142"/>
    <x v="14"/>
    <s v="RM Resin Nor 3317AW (220Kg)"/>
    <x v="97"/>
    <s v="Delivered"/>
    <n v="15"/>
    <s v="Drum"/>
    <n v="1892"/>
    <n v="28380"/>
    <n v="1153513.3500000001"/>
    <s v="28/4/22, 12/5/22, 14/5/22, 16/5/22, 18/5/22, 19/5/22, 20/5/22"/>
    <n v="15"/>
    <n v="0"/>
    <s v="DO252(2), DO263(2), DO265(3), DO266(3), DO267(2), DO268(1), DO269(2)"/>
    <m/>
  </r>
  <r>
    <d v="2022-04-20T00:00:00"/>
    <x v="10"/>
    <x v="3"/>
    <x v="142"/>
    <x v="14"/>
    <s v="RM Resin Nor 3338W (220Kg)"/>
    <x v="96"/>
    <s v="Delivered"/>
    <n v="20"/>
    <s v="Drum"/>
    <n v="1870"/>
    <n v="37400"/>
    <n v="1190913.3500000001"/>
    <s v="21/4/22, 23/4/22, 26/4/22, 27/4/22, 28/4/22, 28/4/22, 6/5/22"/>
    <n v="20"/>
    <n v="0"/>
    <s v="DO246(5), DO249(3), DO250(1), DO251(5), DO253(3), DO254(1), DO257(2)"/>
    <m/>
  </r>
  <r>
    <d v="2022-04-22T00:00:00"/>
    <x v="10"/>
    <x v="3"/>
    <x v="28"/>
    <x v="14"/>
    <s v="RM Nor 3338NW (220Kg)"/>
    <x v="82"/>
    <s v="Ex"/>
    <n v="1"/>
    <s v="Drum"/>
    <n v="1870"/>
    <n v="1870"/>
    <n v="1192783.3500000001"/>
    <s v="21/4/22"/>
    <n v="1"/>
    <n v="0"/>
    <s v="DO246(1)"/>
    <m/>
  </r>
  <r>
    <d v="2022-04-22T00:00:00"/>
    <x v="10"/>
    <x v="3"/>
    <x v="28"/>
    <x v="14"/>
    <s v="RM Fume silica HJSIL 200 (10Kg)"/>
    <x v="98"/>
    <s v="Ex"/>
    <n v="3"/>
    <s v="Bag"/>
    <n v="370"/>
    <n v="1110"/>
    <n v="1193893.3500000001"/>
    <s v="21/5/22, 23/5/22, 23/5/22"/>
    <n v="3"/>
    <n v="0"/>
    <s v="DO270(1), DO272(1), DO274(1)"/>
    <m/>
  </r>
  <r>
    <d v="2022-04-22T00:00:00"/>
    <x v="10"/>
    <x v="3"/>
    <x v="28"/>
    <x v="0"/>
    <s v="RA Talcum Powder (25kg)"/>
    <x v="10"/>
    <s v="Delivered"/>
    <n v="40"/>
    <s v="Bag"/>
    <n v="32.5"/>
    <n v="1300"/>
    <n v="1195193.3500000001"/>
    <s v="28/4/22, 28/4/22, 30/4/22, 6/5/22, 7/5/22, 12/5/22, 14/5/22, 16/5/22, 18/5/22, 20/5/22, 21/5/22"/>
    <n v="40"/>
    <n v="0"/>
    <s v="DO253(3), DO254(5), DO256(4), DO257(4), DO259(4), DO263(3), DO265(3), DO266(5), DO267(2), DO269(4), DO271(3)"/>
    <m/>
  </r>
  <r>
    <d v="2022-04-22T00:00:00"/>
    <x v="10"/>
    <x v="3"/>
    <x v="28"/>
    <x v="0"/>
    <s v="RA Butanox M50 (5kg)"/>
    <x v="7"/>
    <s v="Delivered"/>
    <n v="20"/>
    <s v="Bottle"/>
    <n v="95"/>
    <n v="1900"/>
    <n v="1197093.3500000001"/>
    <s v="22/4/22, 27/4/22, 28/4/22, 16/5/22"/>
    <n v="20"/>
    <n v="0"/>
    <s v="DO248(2), DO251(12), DO254(2), DO266(4)"/>
    <m/>
  </r>
  <r>
    <d v="2022-04-22T00:00:00"/>
    <x v="10"/>
    <x v="3"/>
    <x v="28"/>
    <x v="0"/>
    <s v="RA  Woven Roing 600 1120mm (45kg)"/>
    <x v="99"/>
    <s v="Delivered"/>
    <n v="20"/>
    <s v="Roll"/>
    <n v="288"/>
    <n v="5760"/>
    <n v="1202853.3500000001"/>
    <s v="23/4/22, 26/4/22, 28/4/22, 30/4/22, 6/5/22"/>
    <n v="20"/>
    <n v="0"/>
    <s v="DO249(4), DO250(2), DO253(5), DO256(6), DO257(3)"/>
    <m/>
  </r>
  <r>
    <d v="2022-04-22T00:00:00"/>
    <x v="10"/>
    <x v="3"/>
    <x v="28"/>
    <x v="14"/>
    <s v="RM Pigment Paste Smooth Cream M19 (25kg)"/>
    <x v="92"/>
    <s v="Ex"/>
    <n v="1"/>
    <s v="Pail"/>
    <n v="650"/>
    <n v="650"/>
    <n v="1203503.3500000001"/>
    <s v="23/4/22"/>
    <n v="1"/>
    <n v="0"/>
    <s v="DO249(1)"/>
    <m/>
  </r>
  <r>
    <d v="2022-04-27T00:00:00"/>
    <x v="10"/>
    <x v="3"/>
    <x v="28"/>
    <x v="0"/>
    <s v="RA Resin Nor 3338W (220Kg)"/>
    <x v="100"/>
    <s v="Delivered"/>
    <n v="10"/>
    <s v="Drum"/>
    <n v="1870"/>
    <n v="18700"/>
    <n v="1222203.3500000001"/>
    <s v="28/4/22, 30/4/22, 6/5/22, 7/5/22"/>
    <n v="10"/>
    <n v="0"/>
    <s v="DO254(1), DO256(4), DO257(2), DO259(3)"/>
    <m/>
  </r>
  <r>
    <d v="2022-04-27T00:00:00"/>
    <x v="10"/>
    <x v="3"/>
    <x v="28"/>
    <x v="0"/>
    <s v="RA Butanox M50 (5kg)"/>
    <x v="7"/>
    <s v="Delivered"/>
    <n v="20"/>
    <s v="Bottle"/>
    <n v="95"/>
    <n v="1900"/>
    <n v="1224103.3500000001"/>
    <s v="16/5/22, 23/5/22, 9/6/22, 28/6/22, 29/6/22, 26/7/22"/>
    <n v="20"/>
    <n v="0"/>
    <s v="DO266(2), DO272(4), DO282(4), DO293(2), DO294(4), DO303(4)"/>
    <m/>
  </r>
  <r>
    <d v="2022-04-27T00:00:00"/>
    <x v="10"/>
    <x v="3"/>
    <x v="28"/>
    <x v="0"/>
    <s v="RA Woven Roing 600 1120mm (45kg)"/>
    <x v="101"/>
    <s v="Delivered"/>
    <n v="20"/>
    <s v="Roll"/>
    <n v="288"/>
    <n v="5760"/>
    <n v="1229863.3500000001"/>
    <s v="6/5/22, 7/5/22, 12/5/22, 12/5/22, 23/5/22, 25/5/22, 2/6/22"/>
    <n v="20"/>
    <n v="0"/>
    <s v="DO257(1), DO259(5), DO262(1), DO263(3), DO273(1), DO276(6), DO278(3)"/>
    <m/>
  </r>
  <r>
    <d v="2022-04-27T00:00:00"/>
    <x v="10"/>
    <x v="3"/>
    <x v="28"/>
    <x v="14"/>
    <s v="RM Resin Nor 3338W (220Kg)"/>
    <x v="96"/>
    <s v="Delivered"/>
    <n v="5"/>
    <s v="Drum"/>
    <n v="1870"/>
    <n v="9350"/>
    <n v="1239213.3500000001"/>
    <s v="7/5/22, 10/5/22, 11/5/22, 12/5/22, 23/5/22"/>
    <n v="5"/>
    <n v="0"/>
    <s v="DO259(1), DO260(1), DO261(1), DO262(1), DO272(1)"/>
    <m/>
  </r>
  <r>
    <d v="2022-04-27T00:00:00"/>
    <x v="10"/>
    <x v="3"/>
    <x v="28"/>
    <x v="14"/>
    <s v="RM CSM 450 (30Kg) 64m(L) x 1040mm(W)"/>
    <x v="86"/>
    <s v="Delivered"/>
    <n v="20"/>
    <s v="Roll"/>
    <n v="276"/>
    <n v="5520"/>
    <n v="1244733.3500000001"/>
    <s v="28/4/22, 30/4/22, 6/5/22"/>
    <n v="20"/>
    <n v="0"/>
    <s v="DO253(4), DO256(12), DO257(4)"/>
    <m/>
  </r>
  <r>
    <d v="2022-04-27T00:00:00"/>
    <x v="10"/>
    <x v="3"/>
    <x v="28"/>
    <x v="14"/>
    <s v="RM Pigment Paste Smooth Cream M19 (25kg)"/>
    <x v="92"/>
    <s v="Delivered"/>
    <n v="4"/>
    <s v="Pail"/>
    <n v="650"/>
    <n v="2600"/>
    <n v="1247333.3500000001"/>
    <s v="28/4/22, 30/4/22, 12/5/22, 18/5/22"/>
    <n v="4"/>
    <n v="0"/>
    <s v="DO253(1), DO256(1), DO263(1), DO267(1)"/>
    <m/>
  </r>
  <r>
    <d v="2022-04-29T00:00:00"/>
    <x v="10"/>
    <x v="3"/>
    <x v="28"/>
    <x v="14"/>
    <s v="RM Epoxy primer 15Kg + Hardener 7.5Kg (22.5Kg)"/>
    <x v="102"/>
    <s v="Delivered"/>
    <n v="1"/>
    <s v="Set"/>
    <n v="1092.3"/>
    <n v="1092.3"/>
    <n v="1248425.6500000001"/>
    <s v="29/4/22"/>
    <n v="1"/>
    <n v="0"/>
    <s v="DO255(1)"/>
    <m/>
  </r>
  <r>
    <d v="2022-05-06T00:00:00"/>
    <x v="11"/>
    <x v="3"/>
    <x v="28"/>
    <x v="14"/>
    <s v="RM Epoxy primer 15Kg + Hardener 7.5Kg (22.5Kg)"/>
    <x v="102"/>
    <s v="Delivered"/>
    <n v="1"/>
    <s v="Set"/>
    <n v="1092.3"/>
    <n v="1092.3"/>
    <n v="1249517.9500000002"/>
    <s v="6/5/22"/>
    <n v="1"/>
    <n v="0"/>
    <s v="DO258(1)"/>
    <m/>
  </r>
  <r>
    <d v="2022-05-07T00:00:00"/>
    <x v="11"/>
    <x v="3"/>
    <x v="28"/>
    <x v="14"/>
    <s v="RM CSM 450 (30Kg) 64m(L) x 1040mm(W)"/>
    <x v="86"/>
    <s v="Ex"/>
    <n v="20"/>
    <s v="Roll"/>
    <n v="276"/>
    <n v="5520"/>
    <n v="1255037.9500000002"/>
    <s v="7/5/22"/>
    <n v="20"/>
    <n v="0"/>
    <s v="DO259(20)"/>
    <m/>
  </r>
  <r>
    <d v="2022-05-10T00:00:00"/>
    <x v="11"/>
    <x v="3"/>
    <x v="28"/>
    <x v="14"/>
    <s v="RM CSM 450 (30Kg) 64m(L) x 1040mm(W)"/>
    <x v="86"/>
    <s v="Delivered"/>
    <n v="20"/>
    <s v="Roll"/>
    <n v="276"/>
    <n v="5520"/>
    <n v="1260557.9500000002"/>
    <s v="19/5/22, 21/5/22, 23/5/22, 23/5/22"/>
    <n v="20"/>
    <n v="0"/>
    <s v="DO268(3), DO271(10), DO272(5), DO273(2)"/>
    <m/>
  </r>
  <r>
    <d v="2022-05-10T00:00:00"/>
    <x v="11"/>
    <x v="3"/>
    <x v="143"/>
    <x v="14"/>
    <s v="RM CSM 450 (60Kg) 64m(L) x 2080mm(W)"/>
    <x v="87"/>
    <s v="Delivered"/>
    <n v="16"/>
    <s v="Roll"/>
    <n v="552"/>
    <n v="8832"/>
    <n v="1269389.9500000002"/>
    <s v="10/5/22, 12/5/22, 14/5/22, 18/5/22, 20/5/22"/>
    <n v="16"/>
    <n v="0"/>
    <s v="DO260(2), DO263(3), DO265(4), DO267(2), DO269(5)"/>
    <m/>
  </r>
  <r>
    <d v="2022-05-10T00:00:00"/>
    <x v="11"/>
    <x v="3"/>
    <x v="144"/>
    <x v="14"/>
    <s v="RM Nor 3338NW (220Kg)"/>
    <x v="82"/>
    <s v="Ex"/>
    <n v="1"/>
    <s v="Drum"/>
    <n v="1848"/>
    <n v="1848"/>
    <n v="1271237.9500000002"/>
    <s v="10/5/22"/>
    <n v="1"/>
    <n v="0"/>
    <s v="DO260(1)"/>
    <m/>
  </r>
  <r>
    <d v="2022-05-10T00:00:00"/>
    <x v="11"/>
    <x v="3"/>
    <x v="144"/>
    <x v="14"/>
    <s v="RM Catalyst Despensor"/>
    <x v="103"/>
    <s v="Ex"/>
    <n v="2"/>
    <s v="Pc"/>
    <n v="35"/>
    <n v="70"/>
    <n v="1271307.9500000002"/>
    <s v="12/5/22"/>
    <n v="2"/>
    <n v="0"/>
    <s v="DO262(2)"/>
    <m/>
  </r>
  <r>
    <d v="2022-05-10T00:00:00"/>
    <x v="11"/>
    <x v="3"/>
    <x v="144"/>
    <x v="14"/>
    <s v="RM Pigment Opaline H1 (10Kg)"/>
    <x v="104"/>
    <s v="Ex"/>
    <n v="1"/>
    <s v="Tin"/>
    <n v="330"/>
    <n v="330"/>
    <n v="1271637.9500000002"/>
    <s v="12/5/22"/>
    <n v="1"/>
    <n v="0"/>
    <s v="DO262(1)"/>
    <m/>
  </r>
  <r>
    <d v="2022-05-10T00:00:00"/>
    <x v="11"/>
    <x v="3"/>
    <x v="144"/>
    <x v="14"/>
    <s v="RM Gelcoat GPH (20Kg)"/>
    <x v="105"/>
    <s v="Ex"/>
    <n v="1"/>
    <s v="Pail"/>
    <n v="248"/>
    <n v="248"/>
    <n v="1271885.9500000002"/>
    <s v="12/5/22"/>
    <n v="1"/>
    <n v="0"/>
    <s v="DO262(1)"/>
    <m/>
  </r>
  <r>
    <d v="2022-05-18T00:00:00"/>
    <x v="11"/>
    <x v="3"/>
    <x v="145"/>
    <x v="14"/>
    <s v="RM Pigment Super Black (5Kg)"/>
    <x v="106"/>
    <s v="Ex"/>
    <n v="1"/>
    <s v="Tin"/>
    <n v="120"/>
    <n v="120"/>
    <n v="1272005.9500000002"/>
    <s v="11/5/22"/>
    <n v="1"/>
    <n v="0"/>
    <s v="DO261(1)"/>
    <s v="**ALSEY"/>
  </r>
  <r>
    <d v="2022-05-13T00:00:00"/>
    <x v="11"/>
    <x v="3"/>
    <x v="28"/>
    <x v="11"/>
    <s v="RJ Woven Roving E-600gm 1000mm (40Kg)"/>
    <x v="107"/>
    <s v="Ex"/>
    <n v="20"/>
    <s v="Roll"/>
    <n v="208"/>
    <n v="4160"/>
    <n v="1276165.9500000002"/>
    <s v="14/5/22, 18/5/22, 20/5/22, 21/5/22, 23/5/22"/>
    <n v="20"/>
    <n v="0"/>
    <s v="DO265(5), DO267(3), DO269(5), DO271(5), DO273(2)"/>
    <m/>
  </r>
  <r>
    <d v="2022-05-13T00:00:00"/>
    <x v="11"/>
    <x v="3"/>
    <x v="28"/>
    <x v="11"/>
    <s v="RJ Mepoxe (5kg)"/>
    <x v="88"/>
    <s v="Ex"/>
    <n v="24"/>
    <s v="Bottle"/>
    <n v="55"/>
    <n v="1320"/>
    <n v="1277485.9500000002"/>
    <s v="18/6/22, 24/6/22, 14/7/22, 18/7/22, 29/7/22, 4/8/22, 15/8/22, 16/8/22, 23/8/22, 6/9/22, 9/9/22"/>
    <n v="24"/>
    <n v="0"/>
    <s v="DO289(2), DO291(1), DO298(1), DO299(4), DO304(1), DO306(1), DO312(4), DO314(1), DO315(2), DO323(4), DO324(3)"/>
    <m/>
  </r>
  <r>
    <d v="2022-05-13T00:00:00"/>
    <x v="11"/>
    <x v="3"/>
    <x v="28"/>
    <x v="0"/>
    <s v="RA Resin 3317AW (220Kg)"/>
    <x v="17"/>
    <s v="Delivered"/>
    <n v="15"/>
    <s v="Drum"/>
    <n v="1870"/>
    <n v="28050"/>
    <n v="1305535.9500000002"/>
    <s v="20/5/22, 21/5/22, 23/5/22, 28/5/22, 2/6/22, 4/6/22"/>
    <n v="15"/>
    <n v="0"/>
    <s v="DO269(2), DO271(4), DO273(2), DO277(1), DO278(4), DO280(2)"/>
    <m/>
  </r>
  <r>
    <d v="2022-05-17T00:00:00"/>
    <x v="11"/>
    <x v="3"/>
    <x v="28"/>
    <x v="0"/>
    <s v="RA CSM 300 (30Kg) 64m(L) x 1040mm(W)"/>
    <x v="108"/>
    <s v="Delivered"/>
    <n v="15"/>
    <s v="Roll"/>
    <n v="276"/>
    <n v="4140"/>
    <n v="1309675.9500000002"/>
    <s v="26/9/22, 11/10/22, 29/11/22"/>
    <n v="3"/>
    <n v="12"/>
    <s v="DO335(1), DO343(1), DO373(1)"/>
    <m/>
  </r>
  <r>
    <d v="2022-05-18T00:00:00"/>
    <x v="11"/>
    <x v="3"/>
    <x v="145"/>
    <x v="14"/>
    <s v="RM Pigment Paste Smooth Cream M19 (25kg)"/>
    <x v="92"/>
    <s v="Ex"/>
    <n v="1"/>
    <s v="Pail"/>
    <n v="650"/>
    <n v="650"/>
    <n v="1310325.9500000002"/>
    <s v="18/5/22"/>
    <n v="1"/>
    <n v="0"/>
    <s v="DO267(1)"/>
    <m/>
  </r>
  <r>
    <d v="2022-05-18T00:00:00"/>
    <x v="11"/>
    <x v="3"/>
    <x v="145"/>
    <x v="14"/>
    <s v="RM Pigment Dark Grey G19 (5Kg)"/>
    <x v="109"/>
    <s v="Ex"/>
    <n v="1"/>
    <s v="Tin"/>
    <n v="115"/>
    <n v="115"/>
    <n v="1310440.9500000002"/>
    <s v="21/5/22"/>
    <n v="1"/>
    <n v="0"/>
    <s v="DO270(1)"/>
    <m/>
  </r>
  <r>
    <d v="2022-05-18T00:00:00"/>
    <x v="11"/>
    <x v="3"/>
    <x v="146"/>
    <x v="14"/>
    <s v="RM Resin Nor 3338W (220Kg)"/>
    <x v="96"/>
    <s v="Delivered"/>
    <n v="20"/>
    <s v="Drum"/>
    <n v="1848"/>
    <n v="36960"/>
    <n v="1347400.9500000002"/>
    <s v="23/5/22, 23/5/22, 24/5/22, 25/5/22, 9/6/22"/>
    <n v="20"/>
    <n v="0"/>
    <s v="DO272(5), DO274(2), DO275(5), DO276(4), DO282(4)"/>
    <m/>
  </r>
  <r>
    <d v="2022-05-19T00:00:00"/>
    <x v="11"/>
    <x v="3"/>
    <x v="147"/>
    <x v="0"/>
    <s v="RA Miracle Gloss Wax No. 8 (311g/Can)"/>
    <x v="19"/>
    <s v="Ex"/>
    <n v="12"/>
    <s v="Tin"/>
    <n v="40"/>
    <n v="480"/>
    <n v="1347880.9500000002"/>
    <s v="19/5/22"/>
    <n v="12"/>
    <n v="0"/>
    <s v="DO268(12)"/>
    <m/>
  </r>
  <r>
    <d v="2022-05-20T00:00:00"/>
    <x v="11"/>
    <x v="3"/>
    <x v="148"/>
    <x v="14"/>
    <s v="RM Talcum Powder (25kg)"/>
    <x v="110"/>
    <s v="Delivered"/>
    <n v="40"/>
    <s v="Bag"/>
    <n v="32.5"/>
    <n v="1300"/>
    <n v="1349180.9500000002"/>
    <s v="21/5/22, 23/5/22, 23/5/22, 23/5/22, 25/5/22, 2/6/22, 4/6/22, 11/6/22, 18/6/22, 24/6/22"/>
    <n v="40"/>
    <n v="0"/>
    <s v="DO271(1), DO272(10), DO273(2), DO274(3), DO276(4), DO278(4), DO280(2), DO282(10), DO285(2), DO289(1), DO291(1)"/>
    <m/>
  </r>
  <r>
    <d v="2022-05-20T00:00:00"/>
    <x v="11"/>
    <x v="3"/>
    <x v="148"/>
    <x v="14"/>
    <s v="RM Pigment Paste Smooth Cream M19 (25kg)"/>
    <x v="92"/>
    <s v="Delivered"/>
    <n v="4"/>
    <s v="Pail"/>
    <n v="650"/>
    <n v="2600"/>
    <n v="1351780.9500000002"/>
    <s v="25/5/22, 2/6/22, 18/6/22, 18/7/22"/>
    <n v="4"/>
    <n v="0"/>
    <s v="DO276(1), DO278(1), DO289(1), DO299(1)"/>
    <m/>
  </r>
  <r>
    <d v="2022-05-21T00:00:00"/>
    <x v="11"/>
    <x v="3"/>
    <x v="149"/>
    <x v="14"/>
    <s v="RM CSM 450 (30Kg) 64m(L) x 1040mm(W)"/>
    <x v="86"/>
    <s v="Delivered"/>
    <n v="20"/>
    <s v="Roll"/>
    <n v="276"/>
    <n v="5520"/>
    <n v="1357300.9500000002"/>
    <s v="23/5/22. 25/5/22, 28/5/22, 2/6/22"/>
    <n v="20"/>
    <n v="0"/>
    <s v="DO273(3), DO276(8), DO277(3), DO278(6)"/>
    <m/>
  </r>
  <r>
    <d v="2022-05-23T00:00:00"/>
    <x v="11"/>
    <x v="3"/>
    <x v="150"/>
    <x v="14"/>
    <s v="RM Resin 3317AW (220Kg)"/>
    <x v="111"/>
    <s v="Delivered"/>
    <n v="15"/>
    <s v="Drum"/>
    <n v="1848"/>
    <n v="27720"/>
    <n v="1385020.9500000002"/>
    <s v="7/6/22, 10/6/22, 11/6/22, 14/6/22, 24/6/22, 30/6/22, 14/7/22, 14/7/22, 18/7/22"/>
    <n v="15"/>
    <n v="0"/>
    <s v="DO281(1), DO284(1), DO285(2), DO288(1), DO291(1), Loose Pack(1), DO297(4), DO298(2), DO299(2)"/>
    <m/>
  </r>
  <r>
    <d v="2022-05-28T00:00:00"/>
    <x v="11"/>
    <x v="3"/>
    <x v="151"/>
    <x v="0"/>
    <s v="RA Sand Wheel 105 X 2 X 16 (30PC)"/>
    <x v="112"/>
    <s v="Ex"/>
    <n v="1"/>
    <s v="Tin"/>
    <n v="186"/>
    <n v="186"/>
    <n v="1385206.9500000002"/>
    <s v="28/5/22"/>
    <n v="1"/>
    <n v="0"/>
    <s v="DO277(1)"/>
    <m/>
  </r>
  <r>
    <d v="2022-06-01T00:00:00"/>
    <x v="1"/>
    <x v="3"/>
    <x v="152"/>
    <x v="0"/>
    <s v="RA Resin Nor 3338W (220Kg)"/>
    <x v="100"/>
    <s v="Delivered"/>
    <n v="5"/>
    <s v="Drum"/>
    <n v="1870"/>
    <n v="9350"/>
    <n v="1394556.9500000002"/>
    <s v="3/6/2022, 9/6/22, 9/6/22, 14/6/22, "/>
    <n v="5"/>
    <n v="0"/>
    <s v="DO279(1), O282(1), DO283(1), DO287(2), "/>
    <m/>
  </r>
  <r>
    <d v="2022-06-01T00:00:00"/>
    <x v="1"/>
    <x v="3"/>
    <x v="153"/>
    <x v="0"/>
    <s v="RA Talcum Powder (25kg)"/>
    <x v="10"/>
    <s v="Delivered"/>
    <n v="40"/>
    <s v="Bag"/>
    <n v="32.5"/>
    <n v="1300"/>
    <n v="1395856.9500000002"/>
    <s v="24/6/22, 24/6/22, 29/6/22, 14/7/22, 18/7/22, 23/7/22, 26/7/22, 6/8/22, 12/8/22, 15/8/22, 16/8/22"/>
    <n v="40"/>
    <n v="0"/>
    <s v="DO291(4), DO292(2), DO294(10), DO297(4), DO299(2), DO301(2), DO303(5), DO307(2), DO310(1), DO313(3), DO314(5)"/>
    <m/>
  </r>
  <r>
    <d v="2022-06-02T00:00:00"/>
    <x v="1"/>
    <x v="3"/>
    <x v="152"/>
    <x v="0"/>
    <s v="RA Resin Nor 3338W (220Kg)"/>
    <x v="100"/>
    <s v="Delivered"/>
    <n v="5"/>
    <s v="Drum"/>
    <n v="1870"/>
    <n v="9350"/>
    <n v="1405206.9500000002"/>
    <s v="18/6/22, 20/6/22, 24/6/22, 28/6/22"/>
    <n v="5"/>
    <n v="0"/>
    <s v="DDO289(1). DO290(1), DO292(2), DO293(1)"/>
    <m/>
  </r>
  <r>
    <d v="2022-06-02T00:00:00"/>
    <x v="1"/>
    <x v="3"/>
    <x v="154"/>
    <x v="0"/>
    <s v="RA Woven Roing 600 1120mm (45kg)"/>
    <x v="101"/>
    <s v="Delivered"/>
    <n v="20"/>
    <s v="Roll"/>
    <n v="288"/>
    <n v="5760"/>
    <n v="1410966.9500000002"/>
    <s v="4/6/22, 11/6/22, 18/6/22, 24/6/22, 14/7/22, 14/7/22, 20/7/22, 28/9/22"/>
    <n v="20"/>
    <n v="0"/>
    <s v="DO280(5), DO285(1), DO289(1), DO292(2), DO297(5), DO298(3), DO300(1), DO336(2)"/>
    <m/>
  </r>
  <r>
    <d v="2022-06-03T00:00:00"/>
    <x v="1"/>
    <x v="3"/>
    <x v="155"/>
    <x v="14"/>
    <s v="RM Fume silica HJSIL 200 (10Kg)"/>
    <x v="98"/>
    <s v="Delivered"/>
    <n v="3"/>
    <s v="Bag"/>
    <n v="370"/>
    <n v="1110"/>
    <n v="1412076.9500000002"/>
    <s v="28/6/22, 29/6/22, 4/8/22"/>
    <n v="3"/>
    <n v="0"/>
    <s v="DO293(1), DO294(1), DO306"/>
    <m/>
  </r>
  <r>
    <d v="2022-06-03T00:00:00"/>
    <x v="1"/>
    <x v="3"/>
    <x v="155"/>
    <x v="14"/>
    <s v="RM CSM 450 (30Kg) 64m(L) x 1040mm(W)"/>
    <x v="86"/>
    <s v="Delivered"/>
    <n v="20"/>
    <s v="Roll"/>
    <n v="276"/>
    <n v="5520"/>
    <n v="1417596.9500000002"/>
    <s v="4/6/22, 9/6/22, 10/6/22, 11/6/22, 13/6/22"/>
    <n v="20"/>
    <n v="0"/>
    <s v="DO280(10), DO282(5), DO284(2), DO285(1), DO286(2)"/>
    <m/>
  </r>
  <r>
    <d v="2022-06-07T00:00:00"/>
    <x v="1"/>
    <x v="3"/>
    <x v="156"/>
    <x v="14"/>
    <s v="RM Resin Nor 3338W (220Kg)"/>
    <x v="96"/>
    <s v="Delivered"/>
    <n v="20"/>
    <s v="Drum"/>
    <n v="1848"/>
    <n v="36960"/>
    <n v="1454556.9500000002"/>
    <s v="28/6/22, 29/6/22, 12/7/22, 23/7/22, 26/7/22, 29/7/22, 12/8/22"/>
    <n v="20"/>
    <n v="0"/>
    <s v="DO293(1), DO294(7), DO296(2), DO301(2), DO303(5), DO305(2), DO310(1)"/>
    <m/>
  </r>
  <r>
    <d v="2022-06-07T00:00:00"/>
    <x v="1"/>
    <x v="3"/>
    <x v="157"/>
    <x v="14"/>
    <s v="RM Woven Roving E-800 1000mm (40Kg)"/>
    <x v="113"/>
    <s v="Ex"/>
    <n v="1"/>
    <s v="Roll"/>
    <n v="258"/>
    <n v="258"/>
    <n v="1454814.9500000002"/>
    <s v="7/6/22"/>
    <n v="1"/>
    <n v="0"/>
    <s v="DO281(1)"/>
    <m/>
  </r>
  <r>
    <d v="2022-06-09T00:00:00"/>
    <x v="1"/>
    <x v="3"/>
    <x v="158"/>
    <x v="9"/>
    <s v="RH Bosny Wax (15Kg)"/>
    <x v="48"/>
    <s v="Ex"/>
    <n v="1"/>
    <s v="Pail"/>
    <n v="370"/>
    <n v="370"/>
    <n v="1455184.9500000002"/>
    <s v="9/6/22"/>
    <n v="1"/>
    <n v="0"/>
    <s v="DO282(1)"/>
    <m/>
  </r>
  <r>
    <d v="2022-06-14T00:00:00"/>
    <x v="1"/>
    <x v="3"/>
    <x v="159"/>
    <x v="14"/>
    <s v="RM CSM 450 (30Kg) 64m(L) x 1040mm(W)"/>
    <x v="86"/>
    <s v="Delivered"/>
    <n v="20"/>
    <s v="Roll"/>
    <n v="273"/>
    <n v="5460"/>
    <n v="1460644.9500000002"/>
    <s v="14/6/22, 18/6/22, 24/6/22, 24/6/22, 29/6/22"/>
    <n v="20"/>
    <n v="0"/>
    <s v="DO288(4), DO289(2), DO291(3), DO292(3),  DO294(8)"/>
    <m/>
  </r>
  <r>
    <d v="2022-06-17T00:00:00"/>
    <x v="1"/>
    <x v="3"/>
    <x v="160"/>
    <x v="0"/>
    <s v="RM CSM 450 (30Kg) 64m(L) x 1040mm(W)"/>
    <x v="86"/>
    <s v="Delivered"/>
    <n v="20"/>
    <s v="Roll"/>
    <n v="270"/>
    <n v="5400"/>
    <n v="1466044.9500000002"/>
    <s v="29/6/22, 14/7/22, 18/7/22, 20/7/22"/>
    <n v="20"/>
    <n v="0"/>
    <s v="DO294(2), DO297(9), DO299(8), DO300(1)"/>
    <m/>
  </r>
  <r>
    <d v="2022-06-29T00:00:00"/>
    <x v="1"/>
    <x v="3"/>
    <x v="161"/>
    <x v="9"/>
    <s v="RH Bosny Wax (15Kg)"/>
    <x v="48"/>
    <s v="Ex"/>
    <n v="1"/>
    <s v="Pail"/>
    <n v="370"/>
    <n v="370"/>
    <n v="1466414.9500000002"/>
    <s v="29/6/22"/>
    <n v="1"/>
    <n v="0"/>
    <s v="DO294(1)"/>
    <m/>
  </r>
  <r>
    <d v="2022-07-01T00:00:00"/>
    <x v="2"/>
    <x v="3"/>
    <x v="28"/>
    <x v="0"/>
    <s v="RA Talcum Powder (25kg)"/>
    <x v="10"/>
    <s v="Delivered"/>
    <n v="40"/>
    <s v="Bag"/>
    <n v="32.5"/>
    <n v="1300"/>
    <n v="1467714.9500000002"/>
    <s v="23/8/22, 25/8/22, 26/8/22, 2/9/22, 6/9/22, 13/9/22, 13/9/22, 15/9/22, 23/9/22"/>
    <n v="40"/>
    <n v="0"/>
    <s v="DO316(2), DO318(10), DO320(4), D0321(3), DO323(4), DO327(4), DO328(4), DO330(5), DO331(4)"/>
    <m/>
  </r>
  <r>
    <d v="2022-07-01T00:00:00"/>
    <x v="2"/>
    <x v="3"/>
    <x v="28"/>
    <x v="0"/>
    <s v="RA CSM 450 (30Kg) 64m(L) x 1040mm(W)"/>
    <x v="74"/>
    <s v="Delivered"/>
    <n v="20"/>
    <s v="Roll"/>
    <n v="264"/>
    <n v="5280"/>
    <n v="1472994.9500000002"/>
    <s v="20/7/22, 23/7/22, 26/7/22, 12/8/22"/>
    <n v="20"/>
    <n v="0"/>
    <s v="DO300(1), DO301(6), DO303(10), DO310(3)"/>
    <m/>
  </r>
  <r>
    <d v="2022-07-01T00:00:00"/>
    <x v="2"/>
    <x v="3"/>
    <x v="28"/>
    <x v="14"/>
    <s v="RM Butonox M50 (5kg)"/>
    <x v="114"/>
    <s v="Ex"/>
    <n v="16"/>
    <s v="Bottle"/>
    <n v="96"/>
    <n v="1536"/>
    <n v="1474530.9500000002"/>
    <s v="15/8/22, 26/8/22, 23/9/22, 24/9/22, 26/9/22, 26/9/22, 1/10/22"/>
    <n v="16"/>
    <n v="0"/>
    <s v="DO313(6), DO320(1), DO331(1), DO332(4), DO333(1), DO335(1), DO338(2)"/>
    <m/>
  </r>
  <r>
    <d v="2022-07-06T00:00:00"/>
    <x v="2"/>
    <x v="3"/>
    <x v="28"/>
    <x v="14"/>
    <s v="RM Resin 3317AW (220Kg)"/>
    <x v="111"/>
    <s v="Delivered"/>
    <n v="15"/>
    <s v="Drum"/>
    <n v="1826"/>
    <n v="27390"/>
    <n v="1501920.9500000002"/>
    <s v="23/7/22, 29/7/22, 4/8/22, 6/8/22, 9/8/22, 15/8/22. 16/8/22, 23/8/22, 26/8/22, "/>
    <n v="15"/>
    <n v="0"/>
    <s v="DO302(2), DO304(1), DO306(3), DO307(1), DO309(1), DO313(3), DO314(1), DO315(2), DO319(1)"/>
    <m/>
  </r>
  <r>
    <d v="2022-07-06T00:00:00"/>
    <x v="2"/>
    <x v="3"/>
    <x v="28"/>
    <x v="14"/>
    <s v="RM Resin Nor 3338W (220Kg)"/>
    <x v="96"/>
    <s v="Delivered"/>
    <n v="15"/>
    <s v="Drum"/>
    <n v="1826"/>
    <n v="27390"/>
    <n v="1529310.9500000002"/>
    <s v="15/8/22, 23/8/22, 25/8/22, 26/8/22"/>
    <n v="15"/>
    <n v="0"/>
    <s v="DO312(5), DO316(2), DO318(6), DO320(2)"/>
    <m/>
  </r>
  <r>
    <d v="2022-07-14T00:00:00"/>
    <x v="2"/>
    <x v="3"/>
    <x v="28"/>
    <x v="3"/>
    <s v="Pigment Super White (5Kg)"/>
    <x v="115"/>
    <s v="Ex"/>
    <n v="1"/>
    <s v="Tin"/>
    <n v="115"/>
    <n v="115"/>
    <n v="1529425.9500000002"/>
    <s v="14/7/22"/>
    <n v="1"/>
    <n v="0"/>
    <s v="DO298(1)"/>
    <m/>
  </r>
  <r>
    <d v="2022-07-14T00:00:00"/>
    <x v="2"/>
    <x v="3"/>
    <x v="28"/>
    <x v="14"/>
    <s v="RM PVA (5Kg)"/>
    <x v="116"/>
    <s v="Ex"/>
    <n v="1"/>
    <s v="Bottle"/>
    <n v="80"/>
    <n v="80"/>
    <n v="1529505.9500000002"/>
    <s v="14/7/22"/>
    <n v="1"/>
    <n v="0"/>
    <s v="DO298(1)"/>
    <m/>
  </r>
  <r>
    <d v="2022-07-14T00:00:00"/>
    <x v="2"/>
    <x v="3"/>
    <x v="28"/>
    <x v="14"/>
    <s v="RM TR104 Hi Temp Wax"/>
    <x v="117"/>
    <s v="Ex"/>
    <n v="12"/>
    <s v="Tin"/>
    <n v="40"/>
    <n v="480"/>
    <n v="1529985.9500000002"/>
    <s v="14/7/22"/>
    <n v="12"/>
    <n v="0"/>
    <s v="DO298(12)"/>
    <m/>
  </r>
  <r>
    <d v="2022-07-14T00:00:00"/>
    <x v="2"/>
    <x v="3"/>
    <x v="28"/>
    <x v="14"/>
    <s v="RM Pigment Super White (5Kg)"/>
    <x v="118"/>
    <s v="Ex"/>
    <n v="1"/>
    <s v="Tin"/>
    <n v="115"/>
    <n v="115"/>
    <n v="1530100.9500000002"/>
    <s v="14/7/22"/>
    <n v="1"/>
    <n v="0"/>
    <s v="DO298(1)"/>
    <m/>
  </r>
  <r>
    <d v="2022-07-14T00:00:00"/>
    <x v="2"/>
    <x v="3"/>
    <x v="28"/>
    <x v="14"/>
    <s v="RM Gelcoat GPH (20Kg)"/>
    <x v="105"/>
    <s v="Ex"/>
    <n v="6"/>
    <s v="Pail"/>
    <n v="240"/>
    <n v="1440"/>
    <n v="1531540.9500000002"/>
    <s v="14/7/22"/>
    <n v="6"/>
    <n v="0"/>
    <s v="DO298(6)"/>
    <m/>
  </r>
  <r>
    <d v="2022-07-18T00:00:00"/>
    <x v="2"/>
    <x v="3"/>
    <x v="162"/>
    <x v="11"/>
    <s v="RJ Woven Roving E-600gm 1000mm (40Kg)"/>
    <x v="107"/>
    <s v="Ex"/>
    <n v="20"/>
    <s v="Roll"/>
    <n v="208"/>
    <n v="4160"/>
    <n v="1535700.9500000002"/>
    <s v="18/7/22, 23/7/22, 4/8/22, 6/8/22, 12/8/22, 23/8/22, 2/9/22, 6/9/22"/>
    <n v="20"/>
    <n v="0"/>
    <s v="DO299(4), DO301(2), DO306(2), DO308(3), DO310(1), DO316(3), DO321(4), DO323(1)"/>
    <m/>
  </r>
  <r>
    <d v="2022-07-27T00:00:00"/>
    <x v="2"/>
    <x v="3"/>
    <x v="28"/>
    <x v="0"/>
    <s v="RA CSM 450 Jushi 64m(L) x 1040mm(W) (37Kg)"/>
    <x v="119"/>
    <s v="Delivered"/>
    <n v="20"/>
    <s v="Roll"/>
    <n v="299.7"/>
    <n v="5994"/>
    <n v="1541694.9500000002"/>
    <s v="6/8/22, 16/8/22, 23/8/22, 15/9/22, 26/9/22"/>
    <n v="20"/>
    <n v="0"/>
    <s v="DO307(6), DO314(3), DO316(5), DO330(4), DO333(2)"/>
    <m/>
  </r>
  <r>
    <d v="2022-07-28T00:00:00"/>
    <x v="2"/>
    <x v="3"/>
    <x v="28"/>
    <x v="14"/>
    <s v="RM CSM 450 Jushi 64m(L) X 1860mm(W) (67kg)"/>
    <x v="120"/>
    <s v="Ex"/>
    <n v="6"/>
    <s v="Roll"/>
    <n v="589.6"/>
    <n v="3537.6000000000004"/>
    <n v="1545232.5500000003"/>
    <s v="29/7/22, 4/8/22, 15/8/22"/>
    <n v="6"/>
    <n v="0"/>
    <s v="DO305(1), DO306(2), DO312(3)"/>
    <m/>
  </r>
  <r>
    <d v="2022-07-28T00:00:00"/>
    <x v="2"/>
    <x v="3"/>
    <x v="28"/>
    <x v="14"/>
    <s v="RM Fume silica HJSIL 200 (10Kg)"/>
    <x v="98"/>
    <s v="Ex"/>
    <n v="2"/>
    <s v="Bag"/>
    <n v="360"/>
    <n v="720"/>
    <n v="1545952.5500000003"/>
    <s v="25/8/22, 24/9/22"/>
    <n v="2"/>
    <n v="0"/>
    <s v="DO318(1), DO332(1)"/>
    <m/>
  </r>
  <r>
    <d v="2022-07-28T00:00:00"/>
    <x v="2"/>
    <x v="3"/>
    <x v="28"/>
    <x v="14"/>
    <s v="RM Pigment Paste Smooth Cream M19 (25kg)"/>
    <x v="92"/>
    <s v="Ex"/>
    <n v="4"/>
    <s v="Pail"/>
    <n v="650"/>
    <n v="2600"/>
    <n v="1548552.5500000003"/>
    <s v="12/8/22, 13/9/22, 1/10/22"/>
    <n v="4"/>
    <n v="0"/>
    <s v="DO310(1), DO327(1), DO330-2(2)"/>
    <m/>
  </r>
  <r>
    <d v="2022-08-03T00:00:00"/>
    <x v="3"/>
    <x v="3"/>
    <x v="28"/>
    <x v="14"/>
    <s v="RM Acetone (163Kg)"/>
    <x v="91"/>
    <s v="Ex"/>
    <n v="1"/>
    <s v="Drum"/>
    <n v="896.5"/>
    <n v="896.5"/>
    <n v="1549449.0500000003"/>
    <s v="4/8/22"/>
    <n v="1"/>
    <n v="0"/>
    <s v="DO306(1)"/>
    <m/>
  </r>
  <r>
    <d v="2022-08-03T00:00:00"/>
    <x v="3"/>
    <x v="3"/>
    <x v="28"/>
    <x v="14"/>
    <s v="RM Pigment Super White (5Kg)"/>
    <x v="118"/>
    <s v="Ex"/>
    <n v="4"/>
    <s v="Tin"/>
    <n v="115"/>
    <n v="460"/>
    <n v="1549909.0500000003"/>
    <s v="4/8/2022"/>
    <n v="4"/>
    <n v="0"/>
    <s v="DO306(4)"/>
    <m/>
  </r>
  <r>
    <d v="2022-08-03T00:00:00"/>
    <x v="3"/>
    <x v="3"/>
    <x v="28"/>
    <x v="14"/>
    <s v="RM Gelcoat GPH (20Kg)"/>
    <x v="105"/>
    <s v="Ex"/>
    <n v="6"/>
    <s v="Pail"/>
    <n v="234"/>
    <n v="1404"/>
    <n v="1551313.0500000003"/>
    <s v="4/8/22"/>
    <n v="6"/>
    <n v="0"/>
    <s v="DO306(6)"/>
    <m/>
  </r>
  <r>
    <d v="2022-08-05T00:00:00"/>
    <x v="3"/>
    <x v="3"/>
    <x v="28"/>
    <x v="14"/>
    <s v="RM Woven Roving E-800 1000mm (40Kg)"/>
    <x v="113"/>
    <s v="Ex"/>
    <n v="3"/>
    <s v="Roll"/>
    <n v="256"/>
    <n v="768"/>
    <n v="1552081.0500000003"/>
    <s v="6/8/22"/>
    <n v="3"/>
    <n v="0"/>
    <s v="DO307(3)"/>
    <m/>
  </r>
  <r>
    <d v="2022-08-15T00:00:00"/>
    <x v="3"/>
    <x v="3"/>
    <x v="28"/>
    <x v="14"/>
    <s v="RM CSM 450 Jushi 64m(L) X 1860mm(W) (67kg)"/>
    <x v="120"/>
    <s v="Delivered"/>
    <n v="32"/>
    <s v="Roll"/>
    <n v="556.1"/>
    <n v="17795.2"/>
    <n v="1569876.2500000002"/>
    <s v="26/8/22, 2/9/22, 6/9/22, 13/9/22, 13/9/22, 23/9/22, 26/9/22, 28/9/22, 11/10/22, 13/10/22, 17/10/22, 18/10/22"/>
    <n v="32"/>
    <n v="0"/>
    <s v="DO320(2), DO321(4), DO323(6), DO327(5), DO328(5), DO331(2), DO334(1), 336(2), 344(1), 345(1), 348(1), 350(2)"/>
    <m/>
  </r>
  <r>
    <d v="2022-08-15T00:00:00"/>
    <x v="3"/>
    <x v="3"/>
    <x v="28"/>
    <x v="14"/>
    <s v="RM CSM 450 Jushi 64m(L) X 1860mm(W) (67kg)"/>
    <x v="120"/>
    <s v="Ex"/>
    <n v="1"/>
    <s v="Roll"/>
    <n v="556.1"/>
    <n v="556.1"/>
    <n v="1570432.3500000003"/>
    <s v="15/8/22"/>
    <n v="1"/>
    <n v="0"/>
    <s v="DO312(1)"/>
    <m/>
  </r>
  <r>
    <d v="2022-08-15T00:00:00"/>
    <x v="3"/>
    <x v="3"/>
    <x v="28"/>
    <x v="14"/>
    <s v="RM Resin 268BQTN (225Kg)"/>
    <x v="121"/>
    <s v="Delivered"/>
    <n v="1"/>
    <s v="Drum"/>
    <n v="1822.5"/>
    <n v="1822.5"/>
    <n v="1572254.8500000003"/>
    <s v="15/8/22"/>
    <n v="1"/>
    <n v="0"/>
    <s v="DO312(1)"/>
    <m/>
  </r>
  <r>
    <d v="2022-08-15T00:00:00"/>
    <x v="3"/>
    <x v="3"/>
    <x v="28"/>
    <x v="14"/>
    <s v="RM Cobalt 10% (5kg)"/>
    <x v="122"/>
    <s v="Delivered"/>
    <n v="1"/>
    <s v="Tin"/>
    <n v="240"/>
    <n v="240"/>
    <n v="1572494.8500000003"/>
    <s v="15/8/22"/>
    <n v="1"/>
    <n v="0"/>
    <s v="DO312(1)"/>
    <m/>
  </r>
  <r>
    <d v="2022-08-22T00:00:00"/>
    <x v="3"/>
    <x v="3"/>
    <x v="28"/>
    <x v="14"/>
    <s v="RM Pigment Super White (5Kg)"/>
    <x v="118"/>
    <s v="Ex"/>
    <n v="4"/>
    <s v="Tin "/>
    <n v="115"/>
    <n v="460"/>
    <n v="1572954.8500000003"/>
    <s v="23/8/22"/>
    <n v="4"/>
    <n v="0"/>
    <s v="DO315(4)"/>
    <m/>
  </r>
  <r>
    <d v="2022-08-22T00:00:00"/>
    <x v="3"/>
    <x v="3"/>
    <x v="28"/>
    <x v="14"/>
    <s v="RM Gelcoat GPH (20Kg)"/>
    <x v="105"/>
    <s v="Ex"/>
    <n v="4"/>
    <s v="Pail"/>
    <n v="234"/>
    <n v="936"/>
    <n v="1573890.8500000003"/>
    <s v="23/8/22"/>
    <n v="4"/>
    <n v="0"/>
    <s v="DO315(4)"/>
    <m/>
  </r>
  <r>
    <d v="2022-08-23T00:00:00"/>
    <x v="3"/>
    <x v="3"/>
    <x v="28"/>
    <x v="14"/>
    <s v="RM Gelcoat GPH (20Kg)"/>
    <x v="105"/>
    <s v="Ex"/>
    <n v="3"/>
    <s v="Pail"/>
    <n v="234"/>
    <n v="702"/>
    <n v="1574592.8500000003"/>
    <s v="23/8/22"/>
    <n v="3"/>
    <n v="0"/>
    <s v="DO317(3)"/>
    <m/>
  </r>
  <r>
    <d v="2022-08-26T00:00:00"/>
    <x v="3"/>
    <x v="3"/>
    <x v="28"/>
    <x v="14"/>
    <s v="RM Resin 3317AW (220Kg)"/>
    <x v="111"/>
    <s v="Delivered"/>
    <n v="5"/>
    <s v="Drum"/>
    <n v="1760"/>
    <n v="8800"/>
    <n v="1583392.8500000003"/>
    <s v="26/8/22, 6/9/22, "/>
    <n v="5"/>
    <n v="0"/>
    <s v="DO319(2), DO323(3)"/>
    <m/>
  </r>
  <r>
    <d v="2022-08-26T00:00:00"/>
    <x v="3"/>
    <x v="3"/>
    <x v="28"/>
    <x v="14"/>
    <s v="RM Resin 3338W (220Kg)"/>
    <x v="123"/>
    <s v="Delivered"/>
    <n v="5"/>
    <s v="Drum"/>
    <n v="1760"/>
    <n v="8800"/>
    <n v="1592192.8500000003"/>
    <s v="2/9/22, 5/9/22"/>
    <n v="5"/>
    <n v="0"/>
    <s v="DO321(3), DO322(2)"/>
    <m/>
  </r>
  <r>
    <d v="2022-08-25T00:00:00"/>
    <x v="3"/>
    <x v="3"/>
    <x v="28"/>
    <x v="0"/>
    <s v="RA CSM 450 TWL 79m(L) x 1040mm(W) (30kg)"/>
    <x v="124"/>
    <s v="Ex"/>
    <n v="20"/>
    <s v="Roll"/>
    <n v="225"/>
    <n v="4500"/>
    <n v="1596692.8500000003"/>
    <s v="25/8/22, 9/9/22, 24/9/22"/>
    <n v="20"/>
    <n v="0"/>
    <s v="D0318(10), DO324(8), DO332(2)"/>
    <m/>
  </r>
  <r>
    <d v="2022-08-25T00:00:00"/>
    <x v="3"/>
    <x v="3"/>
    <x v="28"/>
    <x v="14"/>
    <s v="RM Fume silica HJSIL 200 (10Kg)"/>
    <x v="98"/>
    <s v="Delivered"/>
    <n v="3"/>
    <s v="Bag"/>
    <n v="360"/>
    <n v="1080"/>
    <n v="1597772.8500000003"/>
    <s v="28/9/22, 1/10/22, 14/11/22"/>
    <n v="3"/>
    <n v="0"/>
    <s v="DO336(1), DO338(1), DO367(1)"/>
    <m/>
  </r>
  <r>
    <d v="2022-08-25T00:00:00"/>
    <x v="3"/>
    <x v="3"/>
    <x v="28"/>
    <x v="9"/>
    <s v="RH Bosny Wax (15Kg)"/>
    <x v="48"/>
    <s v="Ex"/>
    <n v="1"/>
    <s v="Pail"/>
    <n v="370"/>
    <n v="370"/>
    <n v="1598142.8500000003"/>
    <s v="25/8/22"/>
    <n v="1"/>
    <n v="0"/>
    <s v="DO318(1)"/>
    <m/>
  </r>
  <r>
    <d v="2022-08-26T00:00:00"/>
    <x v="3"/>
    <x v="3"/>
    <x v="163"/>
    <x v="6"/>
    <s v="RE Frekote 770NC (1 Gallon)"/>
    <x v="42"/>
    <s v="Delivered"/>
    <n v="4"/>
    <s v="Tin"/>
    <n v="320"/>
    <n v="1280"/>
    <n v="1599422.8500000003"/>
    <s v="26/8/22, 26/9/22, 11/10/22, 15/11/22"/>
    <n v="4"/>
    <n v="0"/>
    <s v="DO320(1), DO335(1), DO344(1), DO368(1)"/>
    <m/>
  </r>
  <r>
    <d v="2022-09-06T00:00:00"/>
    <x v="4"/>
    <x v="3"/>
    <x v="28"/>
    <x v="11"/>
    <s v="RJ Woven Roving E-600gm 1000mm (40Kg)"/>
    <x v="107"/>
    <s v="Ex"/>
    <n v="20"/>
    <s v="Roll"/>
    <n v="200"/>
    <n v="4000"/>
    <n v="1603422.8500000003"/>
    <s v="6/9/22, 13/9/22, 13/9/22, 26/9/22, 13/10/22"/>
    <n v="20"/>
    <n v="0"/>
    <s v="DO323(5), DO327(5), DO328(5), DO334(1), DO345(4)"/>
    <s v="DO334*42Kg"/>
  </r>
  <r>
    <d v="2022-09-06T00:00:00"/>
    <x v="4"/>
    <x v="3"/>
    <x v="28"/>
    <x v="11"/>
    <s v="RJ Mepoxe (5kg)"/>
    <x v="88"/>
    <s v="Ex"/>
    <n v="20"/>
    <s v="Bottle"/>
    <n v="52.5"/>
    <n v="1050"/>
    <n v="1604472.8500000003"/>
    <s v="9/9/22, 9/9/22, 13/9/22, 15/9/22, 28/9/22, 28/9/22, 20/10/22, 5/11/22, 8/11/22, 9/11/22, 11/11/22"/>
    <n v="20"/>
    <n v="0"/>
    <s v="DO324(1), DO326(1), DO327(4), DO330(1), DO336(1), DO337(1), DO351(4), DO362(1), DO364(1), DO365(1), DO366(4)"/>
    <m/>
  </r>
  <r>
    <d v="2022-09-08T00:00:00"/>
    <x v="4"/>
    <x v="3"/>
    <x v="28"/>
    <x v="0"/>
    <s v="RA Resin 3317AW (220Kg)"/>
    <x v="17"/>
    <s v="Delivered"/>
    <n v="10"/>
    <s v="Roll"/>
    <n v="1650"/>
    <n v="16500"/>
    <n v="1620972.8500000003"/>
    <s v="9/9/22, 9/9/22, 15/9/22, 26/9/22, 28/9/22, 28/9/22, 1/10/22, 2/10/22"/>
    <n v="10"/>
    <n v="0"/>
    <s v="DO325(1), DO 326(1), DO330(1), DO333(1), DO336(3), DO337(1), DO340(1), DO341(1)"/>
    <m/>
  </r>
  <r>
    <d v="2022-09-08T00:00:00"/>
    <x v="4"/>
    <x v="3"/>
    <x v="28"/>
    <x v="0"/>
    <s v="RA Resin 3338W (220Kg)"/>
    <x v="125"/>
    <s v="Delivered"/>
    <n v="10"/>
    <s v="Roll"/>
    <n v="1628"/>
    <n v="16280"/>
    <n v="1637252.8500000003"/>
    <s v="13/9/22, 13/9/22, 23/9/22, 1/10/22"/>
    <n v="10"/>
    <n v="0"/>
    <s v="DO327(4), DO328(4), DO331(1), DO338(1)"/>
    <m/>
  </r>
  <r>
    <d v="2022-09-08T00:00:00"/>
    <x v="4"/>
    <x v="3"/>
    <x v="28"/>
    <x v="0"/>
    <s v="RA CSM 450 TWL 79m(L) x 1040mm(W) (30kg)"/>
    <x v="124"/>
    <s v="Ex"/>
    <n v="20"/>
    <s v="Roll"/>
    <n v="219"/>
    <n v="4380"/>
    <n v="1641632.8500000003"/>
    <s v="24/9/22, 1/10/22, 13/10/22"/>
    <n v="20"/>
    <n v="0"/>
    <s v="DO332(3), DO338(10), DO345(7)"/>
    <m/>
  </r>
  <r>
    <d v="2022-09-08T00:00:00"/>
    <x v="4"/>
    <x v="3"/>
    <x v="28"/>
    <x v="0"/>
    <s v="RA Talcum Powder (25kg)"/>
    <x v="10"/>
    <s v="Delivered"/>
    <n v="40"/>
    <s v="Bag"/>
    <n v="32.5"/>
    <n v="1300"/>
    <n v="1642932.8500000003"/>
    <s v="23/9/22, 24/9/22, 26/9/22, 28/9/22, 1/10/22, 1/10/22, 2/10/22, 13/10/22, 15/10/22"/>
    <n v="40"/>
    <n v="0"/>
    <s v="DO331(1), DO332(5), DO333(10), DO337(1), DO338(10), DO340(5), DO341(3), DO345(3), DO347(2)"/>
    <m/>
  </r>
  <r>
    <d v="2022-09-08T00:00:00"/>
    <x v="4"/>
    <x v="3"/>
    <x v="28"/>
    <x v="0"/>
    <s v="RA Sand Wheel 105 X 2 X 16 (30PC)"/>
    <x v="112"/>
    <s v="Delivered"/>
    <n v="1"/>
    <s v="Tin"/>
    <n v="186"/>
    <n v="186"/>
    <n v="1643118.8500000003"/>
    <s v="9/9/22"/>
    <n v="1"/>
    <n v="0"/>
    <s v="DO326(1)"/>
    <m/>
  </r>
  <r>
    <d v="2022-09-14T00:00:00"/>
    <x v="4"/>
    <x v="3"/>
    <x v="28"/>
    <x v="14"/>
    <s v="RM Vinly Ester Resin (20 Kg)"/>
    <x v="126"/>
    <s v="Ex"/>
    <n v="4"/>
    <s v="Pail"/>
    <n v="330"/>
    <n v="1320"/>
    <n v="1644438.8500000003"/>
    <s v="14/9/22"/>
    <n v="4"/>
    <n v="0"/>
    <s v="DO329(4)"/>
    <m/>
  </r>
  <r>
    <d v="2022-09-19T00:00:00"/>
    <x v="4"/>
    <x v="3"/>
    <x v="28"/>
    <x v="0"/>
    <s v="RA Resin 3338W (220Kg)"/>
    <x v="125"/>
    <s v="Delivered"/>
    <n v="10"/>
    <s v="Drum"/>
    <n v="1628"/>
    <n v="16280"/>
    <n v="1660718.8500000003"/>
    <s v="24/9/22, 26/9/22, 1/10/22"/>
    <n v="10"/>
    <n v="0"/>
    <s v="DO332(5), DO334(1), DO338(4)"/>
    <m/>
  </r>
  <r>
    <d v="2022-09-24T00:00:00"/>
    <x v="4"/>
    <x v="3"/>
    <x v="28"/>
    <x v="11"/>
    <s v="RJ Butonox M50 (5kg)"/>
    <x v="127"/>
    <s v="Ex"/>
    <n v="32"/>
    <s v="Bottle"/>
    <n v="67.5"/>
    <n v="2160"/>
    <n v="1662878.8500000003"/>
    <s v="1/10/23, 3/10/22, 1/10/22, 2/10/22, 11/10/22, 13/10/22, 13/10/22, 15/10/22, 17/10/22, 22/10/22, 27/10/22, 31/10/22, 1/11/22,"/>
    <n v="32"/>
    <n v="0"/>
    <s v="DO338(2), DO339-2(4), DO340(1), DO341(6), DO344(1), DO345(2), DO346(1), DO347(4), DO348(1), DO354(1), DO356-1(4), DO357(1), DO359(4)"/>
    <m/>
  </r>
  <r>
    <d v="2022-09-26T00:00:00"/>
    <x v="4"/>
    <x v="3"/>
    <x v="28"/>
    <x v="0"/>
    <s v="RA Miracle Gloss Wax No. 8 (311g/Can)"/>
    <x v="19"/>
    <s v="Ex"/>
    <n v="12"/>
    <s v="Can"/>
    <n v="43"/>
    <n v="516"/>
    <n v="1663394.8500000003"/>
    <s v="26/9/22, 1/10/22"/>
    <n v="12"/>
    <n v="0"/>
    <s v="DO333(6), DO340(6)"/>
    <m/>
  </r>
  <r>
    <d v="2022-09-28T00:00:00"/>
    <x v="4"/>
    <x v="3"/>
    <x v="28"/>
    <x v="14"/>
    <s v="RM PVA (5Kg)"/>
    <x v="116"/>
    <s v="Ex"/>
    <n v="1"/>
    <s v="Bottle"/>
    <n v="80"/>
    <n v="80"/>
    <n v="1663474.8500000003"/>
    <s v="28/9/22"/>
    <n v="1"/>
    <n v="0"/>
    <s v="DO336(1)"/>
    <m/>
  </r>
  <r>
    <d v="2022-09-28T00:00:00"/>
    <x v="4"/>
    <x v="3"/>
    <x v="28"/>
    <x v="14"/>
    <s v="RM Pigment Super White (5Kg)"/>
    <x v="118"/>
    <s v="Ex"/>
    <n v="4"/>
    <s v="Tin"/>
    <n v="115"/>
    <n v="460"/>
    <n v="1663934.8500000003"/>
    <s v="28/9/22"/>
    <n v="4"/>
    <n v="0"/>
    <s v="DO336(1)"/>
    <m/>
  </r>
  <r>
    <d v="2022-09-28T00:00:00"/>
    <x v="4"/>
    <x v="3"/>
    <x v="28"/>
    <x v="14"/>
    <s v="RM Gelcoat GPH (20Kg)"/>
    <x v="105"/>
    <s v="Ex"/>
    <n v="4"/>
    <s v="Pail"/>
    <n v="225"/>
    <n v="900"/>
    <n v="1664834.8500000003"/>
    <s v="28/9/22"/>
    <n v="4"/>
    <n v="0"/>
    <s v="DO336(4)"/>
    <m/>
  </r>
  <r>
    <d v="2022-09-30T00:00:00"/>
    <x v="4"/>
    <x v="3"/>
    <x v="28"/>
    <x v="0"/>
    <s v="RA Resin 3338W (220Kg)"/>
    <x v="125"/>
    <s v="Ex"/>
    <n v="4"/>
    <s v="Drum"/>
    <n v="1617"/>
    <n v="6468"/>
    <n v="1671302.8500000003"/>
    <s v="30/9/22"/>
    <n v="4"/>
    <n v="0"/>
    <s v="DO339-1(4)"/>
    <m/>
  </r>
  <r>
    <d v="2022-09-30T00:00:00"/>
    <x v="4"/>
    <x v="3"/>
    <x v="28"/>
    <x v="0"/>
    <s v="RA CSM 450 TWL 79m(L) x 1040mm(W) (30kg)"/>
    <x v="124"/>
    <s v="Ex"/>
    <n v="20"/>
    <s v="Roll"/>
    <n v="219"/>
    <n v="4380"/>
    <n v="1675682.8500000003"/>
    <s v="30/9/22"/>
    <n v="20"/>
    <n v="0"/>
    <s v="DO339-1(20)"/>
    <m/>
  </r>
  <r>
    <d v="2022-09-30T00:00:00"/>
    <x v="4"/>
    <x v="3"/>
    <x v="28"/>
    <x v="0"/>
    <s v="RA Woven Roing 600 1120mm (45kg)"/>
    <x v="101"/>
    <s v="Ex"/>
    <n v="10"/>
    <s v="Roll"/>
    <n v="261"/>
    <n v="2610"/>
    <n v="1678292.8500000003"/>
    <s v="30/9/22"/>
    <n v="10"/>
    <n v="0"/>
    <s v="DO339-1(10)"/>
    <m/>
  </r>
  <r>
    <d v="2022-09-30T00:00:00"/>
    <x v="4"/>
    <x v="3"/>
    <x v="28"/>
    <x v="0"/>
    <s v="RA Talcum Powder (25kg)"/>
    <x v="10"/>
    <s v="Ex"/>
    <n v="4"/>
    <s v="Bag"/>
    <n v="32.5"/>
    <n v="130"/>
    <n v="1678422.8500000003"/>
    <s v="30/9/22, 1/10/22"/>
    <n v="4"/>
    <n v="0"/>
    <s v="DO339-1(4)"/>
    <m/>
  </r>
  <r>
    <d v="2022-10-01T00:00:00"/>
    <x v="5"/>
    <x v="3"/>
    <x v="28"/>
    <x v="14"/>
    <s v="RM Resin 3338W (220Kg)"/>
    <x v="125"/>
    <s v="Ex"/>
    <n v="9"/>
    <s v="Drum"/>
    <n v="1606"/>
    <n v="14454"/>
    <n v="1692876.8500000003"/>
    <s v="1/10/22"/>
    <n v="9"/>
    <n v="0"/>
    <s v="DO339-2(9)"/>
    <m/>
  </r>
  <r>
    <d v="2022-10-03T00:00:00"/>
    <x v="5"/>
    <x v="3"/>
    <x v="28"/>
    <x v="14"/>
    <s v="RM Resin 3338W (220Kg)"/>
    <x v="125"/>
    <s v="Ex"/>
    <n v="2"/>
    <s v="Drum"/>
    <n v="1606"/>
    <n v="3212"/>
    <n v="1696088.8500000003"/>
    <s v="3/10/22"/>
    <n v="2"/>
    <n v="0"/>
    <s v="DO339-3(2)"/>
    <m/>
  </r>
  <r>
    <d v="2022-10-03T00:00:00"/>
    <x v="5"/>
    <x v="3"/>
    <x v="28"/>
    <x v="14"/>
    <s v="RM Brush 3&quot; (12Pc)"/>
    <x v="128"/>
    <s v="Ex"/>
    <n v="1"/>
    <s v="Box"/>
    <n v="30"/>
    <n v="30"/>
    <n v="1696118.8500000003"/>
    <s v="15/10/22"/>
    <n v="1"/>
    <n v="0"/>
    <s v="DO347(1)"/>
    <m/>
  </r>
  <r>
    <d v="2022-10-03T00:00:00"/>
    <x v="5"/>
    <x v="3"/>
    <x v="28"/>
    <x v="0"/>
    <s v="RA CSM 450 TWL 79m(L) x 1040mm(W) (30kg)"/>
    <x v="124"/>
    <s v="Ex"/>
    <n v="25"/>
    <s v="Roll"/>
    <n v="219"/>
    <n v="5475"/>
    <n v="1701593.8500000003"/>
    <s v="3/10/22"/>
    <n v="25"/>
    <n v="0"/>
    <s v="DO339-3(25)"/>
    <m/>
  </r>
  <r>
    <d v="2022-10-03T00:00:00"/>
    <x v="5"/>
    <x v="3"/>
    <x v="28"/>
    <x v="0"/>
    <s v="RA Woven Roing 600 1120mm (45kg)"/>
    <x v="101"/>
    <s v="Ex"/>
    <n v="12"/>
    <s v="Roll"/>
    <n v="261"/>
    <n v="3132"/>
    <n v="1704725.8500000003"/>
    <s v="3/10/22"/>
    <n v="12"/>
    <n v="0"/>
    <s v="DO339-3(12)"/>
    <m/>
  </r>
  <r>
    <d v="2022-10-03T00:00:00"/>
    <x v="5"/>
    <x v="3"/>
    <x v="28"/>
    <x v="0"/>
    <s v="RA Talcum Powder (25kg)"/>
    <x v="10"/>
    <s v="Ex"/>
    <n v="11"/>
    <s v="Bag"/>
    <n v="32.5"/>
    <n v="357.5"/>
    <n v="1705083.3500000003"/>
    <s v="3/10/22"/>
    <n v="11"/>
    <n v="0"/>
    <s v="DO339-3(11)"/>
    <m/>
  </r>
  <r>
    <d v="2022-10-03T00:00:00"/>
    <x v="5"/>
    <x v="3"/>
    <x v="28"/>
    <x v="14"/>
    <s v="RM Resin 3317AW (220Kg)"/>
    <x v="17"/>
    <s v="Ex"/>
    <n v="2"/>
    <s v="Drum"/>
    <n v="1606"/>
    <n v="3212"/>
    <n v="1708295.3500000003"/>
    <s v="3/10/22"/>
    <n v="2"/>
    <n v="0"/>
    <s v="DO342(2)"/>
    <m/>
  </r>
  <r>
    <d v="2022-10-03T00:00:00"/>
    <x v="5"/>
    <x v="3"/>
    <x v="28"/>
    <x v="14"/>
    <s v="RM Resin 3317AW (220Kg)"/>
    <x v="111"/>
    <s v="Delivered"/>
    <n v="15"/>
    <s v="Drum"/>
    <n v="1606"/>
    <n v="24090"/>
    <n v="1732385.3500000003"/>
    <s v="13/10/22, 17/10/22, 21/10/220, 22/10/22, 22/10/22, 31/10/22, 9/11/22, 14/11/22, 22/11/22, 29/11/22"/>
    <n v="15"/>
    <n v="0"/>
    <s v="DO346(1), DO348(1), DO352(1), DO353(2), DO354(1), DO357(1), DO365(1), DO367(4), DO370(1), DO373(2)"/>
    <m/>
  </r>
  <r>
    <d v="2022-10-03T00:00:00"/>
    <x v="5"/>
    <x v="3"/>
    <x v="28"/>
    <x v="14"/>
    <s v="RM Resin 3338W (220Kg)"/>
    <x v="123"/>
    <s v="Delivered"/>
    <n v="15"/>
    <s v="Drum"/>
    <n v="1606"/>
    <n v="24090"/>
    <n v="1756475.3500000003"/>
    <s v="11/10/22, 11/10/22, 13/10/22, 15/10/22, 31/10/22"/>
    <n v="15"/>
    <n v="0"/>
    <s v="DO343(1), DO344(1), DO345(3), DO347(5), DO356-1(5)"/>
    <m/>
  </r>
  <r>
    <d v="2022-10-03T00:00:00"/>
    <x v="5"/>
    <x v="3"/>
    <x v="28"/>
    <x v="0"/>
    <s v="RA Talcum Powder (25kg)"/>
    <x v="10"/>
    <s v="Delivered"/>
    <n v="40"/>
    <s v="Bag"/>
    <n v="32.5"/>
    <n v="1300"/>
    <n v="1757775.3500000003"/>
    <s v="15/10/22, 17/10/22, 27/10/22, 31/10/22, 1/11/22, 11/11/22, 22/11/22"/>
    <n v="40"/>
    <n v="0"/>
    <s v="DO347(8), DO348(2), DO355(4), DO356-1(5), DO359(10), DO366(5), DO372(6)"/>
    <m/>
  </r>
  <r>
    <d v="2022-10-07T00:00:00"/>
    <x v="5"/>
    <x v="3"/>
    <x v="28"/>
    <x v="0"/>
    <s v="RA CSM 450 TWL 79m(L) x 1040mm(W) (30kg)"/>
    <x v="124"/>
    <s v="Delivered"/>
    <n v="40"/>
    <s v="Roll"/>
    <n v="216"/>
    <n v="8640"/>
    <n v="1766415.3500000003"/>
    <s v="13/10/22, 15/10/22, 21/10/22, 22/10/22, 22/10/22, 31/10/22, 31/10/22"/>
    <n v="40"/>
    <n v="0"/>
    <s v="DO346(2), DO347(5), DO352(4), DO353(10), DO354(3), 356-1(15), 357(1)"/>
    <m/>
  </r>
  <r>
    <d v="2022-10-07T00:00:00"/>
    <x v="5"/>
    <x v="3"/>
    <x v="28"/>
    <x v="0"/>
    <s v="RA Woven Roing 600 1120mm (45kg)"/>
    <x v="101"/>
    <s v="Delivered"/>
    <n v="20"/>
    <s v="Roll"/>
    <n v="261"/>
    <n v="5220"/>
    <n v="1771635.3500000003"/>
    <s v="22/10/22, 31/10/22, 11/11/22, 14/11/22"/>
    <n v="17"/>
    <n v="3"/>
    <s v="DO353(5), DO356-1(7), DO366(4), DO367(1)"/>
    <m/>
  </r>
  <r>
    <d v="2022-10-07T00:00:00"/>
    <x v="5"/>
    <x v="3"/>
    <x v="28"/>
    <x v="14"/>
    <s v="RM Pigment Paste Smooth Cream M19 (25kg)"/>
    <x v="92"/>
    <s v="Ex"/>
    <n v="4"/>
    <s v="Pail"/>
    <n v="650"/>
    <n v="2600"/>
    <n v="1774235.3500000003"/>
    <s v="13/10/22, 31/10/22, 11/11/22"/>
    <n v="4"/>
    <n v="0"/>
    <s v="DO345(1), DO356-1(2), 366(1)"/>
    <m/>
  </r>
  <r>
    <d v="2022-10-17T00:00:00"/>
    <x v="5"/>
    <x v="3"/>
    <x v="28"/>
    <x v="14"/>
    <s v="RM Pigment Super White (5Kg)"/>
    <x v="118"/>
    <s v="Ex"/>
    <n v="1"/>
    <s v="Tin"/>
    <n v="115"/>
    <n v="115"/>
    <n v="1774350.3500000003"/>
    <s v="17/10/22"/>
    <n v="1"/>
    <n v="0"/>
    <s v="DO348-1(1)"/>
    <m/>
  </r>
  <r>
    <d v="2022-10-17T00:00:00"/>
    <x v="5"/>
    <x v="3"/>
    <x v="28"/>
    <x v="14"/>
    <s v="RM Pigment Orange (5Kg)"/>
    <x v="129"/>
    <s v="Ex"/>
    <n v="1"/>
    <s v="Tin "/>
    <n v="195"/>
    <n v="195"/>
    <n v="1774545.3500000003"/>
    <s v="17/10/22"/>
    <n v="1"/>
    <n v="0"/>
    <s v="DO348(1)"/>
    <m/>
  </r>
  <r>
    <d v="2022-10-17T00:00:00"/>
    <x v="5"/>
    <x v="3"/>
    <x v="28"/>
    <x v="14"/>
    <s v="RM Gelcoat GPH (20Kg)"/>
    <x v="105"/>
    <s v="Ex"/>
    <n v="1"/>
    <s v="Pail"/>
    <n v="225"/>
    <n v="225"/>
    <n v="1774770.3500000003"/>
    <s v="17/10/22"/>
    <n v="1"/>
    <n v="0"/>
    <s v="DO348(1)"/>
    <m/>
  </r>
  <r>
    <d v="2022-10-17T00:00:00"/>
    <x v="5"/>
    <x v="3"/>
    <x v="28"/>
    <x v="3"/>
    <s v="Brush 2 1.2&quot; (12Pc)"/>
    <x v="21"/>
    <s v="Ex"/>
    <n v="1"/>
    <s v="Box"/>
    <n v="50"/>
    <n v="50"/>
    <n v="1774820.3500000003"/>
    <s v="17/10/22"/>
    <n v="1"/>
    <n v="0"/>
    <s v="DO348(1)"/>
    <m/>
  </r>
  <r>
    <d v="2022-10-17T00:00:00"/>
    <x v="5"/>
    <x v="3"/>
    <x v="28"/>
    <x v="9"/>
    <s v="RH Bosny Wax (15Kg)"/>
    <x v="48"/>
    <s v="Ex"/>
    <n v="1"/>
    <s v="Pail"/>
    <n v="370"/>
    <n v="370"/>
    <n v="1775190.3500000003"/>
    <s v="17/10/22"/>
    <n v="1"/>
    <n v="0"/>
    <s v="DO349(1)"/>
    <m/>
  </r>
  <r>
    <d v="2022-10-19T00:00:00"/>
    <x v="5"/>
    <x v="3"/>
    <x v="28"/>
    <x v="14"/>
    <s v="RM Resin 3338W (220Kg)"/>
    <x v="123"/>
    <s v="Ex"/>
    <n v="6"/>
    <s v="Drum"/>
    <n v="1606"/>
    <n v="9636"/>
    <n v="1784826.3500000003"/>
    <s v="20/10/22"/>
    <n v="6"/>
    <n v="0"/>
    <s v="DO351(6)"/>
    <m/>
  </r>
  <r>
    <d v="2022-10-19T00:00:00"/>
    <x v="5"/>
    <x v="3"/>
    <x v="28"/>
    <x v="14"/>
    <s v="RM Nor 3338NW (220Kg)"/>
    <x v="82"/>
    <s v="Ex"/>
    <n v="1"/>
    <s v="Drum"/>
    <n v="1606"/>
    <n v="1606"/>
    <n v="1786432.3500000003"/>
    <s v="20/10/22"/>
    <n v="1"/>
    <n v="0"/>
    <s v="DO351(1)"/>
    <m/>
  </r>
  <r>
    <d v="2022-10-19T00:00:00"/>
    <x v="5"/>
    <x v="3"/>
    <x v="28"/>
    <x v="14"/>
    <s v="RM CSM 450 64m(L) X 1860mm(W) (54kg)"/>
    <x v="95"/>
    <s v="Ex"/>
    <n v="3"/>
    <s v="Roll"/>
    <n v="388.8"/>
    <n v="1166.4000000000001"/>
    <n v="1787598.7500000002"/>
    <s v="20/10/22"/>
    <n v="3"/>
    <n v="0"/>
    <s v="DO351(3)"/>
    <m/>
  </r>
  <r>
    <d v="2022-10-27T00:00:00"/>
    <x v="5"/>
    <x v="3"/>
    <x v="28"/>
    <x v="14"/>
    <s v="RM CSM 450 79m(L) x 1040mm(W) (30kg)"/>
    <x v="130"/>
    <s v="Ex"/>
    <n v="30"/>
    <s v="Roll"/>
    <n v="213"/>
    <n v="6390"/>
    <n v="1793988.7500000002"/>
    <s v="27/10/22"/>
    <n v="30"/>
    <n v="0"/>
    <s v="DO356-2(30)"/>
    <m/>
  </r>
  <r>
    <d v="2022-10-27T00:00:00"/>
    <x v="5"/>
    <x v="3"/>
    <x v="28"/>
    <x v="14"/>
    <s v="RM Woven Roing 600 1000mm (40kg)"/>
    <x v="131"/>
    <s v="Ex"/>
    <n v="15"/>
    <s v="Roll"/>
    <n v="206"/>
    <n v="3090"/>
    <n v="1797078.7500000002"/>
    <s v="27/10/22"/>
    <n v="15"/>
    <n v="0"/>
    <s v="DO356-2(15)"/>
    <m/>
  </r>
  <r>
    <d v="2022-10-27T00:00:00"/>
    <x v="5"/>
    <x v="3"/>
    <x v="28"/>
    <x v="14"/>
    <s v="RM Talcum Powder (25kg)"/>
    <x v="110"/>
    <s v="Ex"/>
    <n v="10"/>
    <s v="Bag"/>
    <n v="32.5"/>
    <n v="325"/>
    <n v="1797403.7500000002"/>
    <s v="27/10/22"/>
    <n v="10"/>
    <n v="0"/>
    <s v="DO356-2(10)"/>
    <m/>
  </r>
  <r>
    <d v="2022-10-28T00:00:00"/>
    <x v="5"/>
    <x v="3"/>
    <x v="28"/>
    <x v="14"/>
    <s v="RM Resin 3338W (220Kg)"/>
    <x v="123"/>
    <s v="Ex"/>
    <n v="10"/>
    <s v="Drum"/>
    <n v="1606"/>
    <n v="16060"/>
    <n v="1813463.7500000002"/>
    <s v="28/10/22"/>
    <n v="10"/>
    <n v="0"/>
    <s v="DO256-3(10)"/>
    <m/>
  </r>
  <r>
    <d v="2022-10-28T00:00:00"/>
    <x v="5"/>
    <x v="3"/>
    <x v="164"/>
    <x v="14"/>
    <s v="RM Resin 3338W (220Kg)"/>
    <x v="123"/>
    <s v="Delivered"/>
    <n v="20"/>
    <s v="Drum"/>
    <n v="1606"/>
    <n v="32120"/>
    <n v="1845583.7500000002"/>
    <s v="1/11/2022, 1/11/2022, 3/11/22, 11/11/22, 15/11/22, 22/11/22"/>
    <n v="20"/>
    <n v="0"/>
    <s v="DO358(5), DO359(5), DO360(2), DO366(5), DO368(2), DO372(1)"/>
    <m/>
  </r>
  <r>
    <d v="2022-10-28T00:00:00"/>
    <x v="5"/>
    <x v="3"/>
    <x v="165"/>
    <x v="14"/>
    <s v="RM CSM 450 79m(L) x 1040mm(W) (30kg)"/>
    <x v="130"/>
    <s v="Delivered"/>
    <n v="18"/>
    <s v="Roll"/>
    <n v="213"/>
    <n v="3834"/>
    <n v="1849417.7500000002"/>
    <s v="31/10/22, 1/11/2022, 9/11/22, 11/11/22"/>
    <n v="18"/>
    <n v="0"/>
    <s v="DO357(2), DO359(5), 365(4)"/>
    <m/>
  </r>
  <r>
    <d v="2022-10-28T00:00:00"/>
    <x v="5"/>
    <x v="3"/>
    <x v="165"/>
    <x v="14"/>
    <s v="RM Woven Roving 600 1000mm (40Kg)"/>
    <x v="132"/>
    <s v="Ex"/>
    <n v="10"/>
    <s v="Roll"/>
    <n v="206"/>
    <n v="2060"/>
    <n v="1851477.7500000002"/>
    <s v="22/11/22"/>
    <n v="6"/>
    <n v="4"/>
    <s v="DO372(6)"/>
    <m/>
  </r>
  <r>
    <d v="2022-10-28T00:00:00"/>
    <x v="5"/>
    <x v="3"/>
    <x v="165"/>
    <x v="14"/>
    <s v="RM Talcum Powder (25kg)"/>
    <x v="110"/>
    <s v="Delivered"/>
    <n v="30"/>
    <s v="Bag"/>
    <n v="32.5"/>
    <n v="975"/>
    <n v="1852452.7500000002"/>
    <s v="29/11/22, 29/11/22"/>
    <n v="10"/>
    <n v="20"/>
    <s v="DO373(5), DO374(5)"/>
    <m/>
  </r>
  <r>
    <d v="2022-10-28T00:00:00"/>
    <x v="5"/>
    <x v="3"/>
    <x v="166"/>
    <x v="14"/>
    <s v="RM CSM 450 79m(L) x 1040mm(W) (30kg)"/>
    <x v="130"/>
    <s v="Delivered"/>
    <n v="16"/>
    <s v="Roll"/>
    <n v="213"/>
    <n v="3408"/>
    <n v="1855860.7500000002"/>
    <s v="11/11/22, 22/11/22"/>
    <n v="16"/>
    <n v="0"/>
    <s v="DO366(5), DO372(11)"/>
    <m/>
  </r>
  <r>
    <d v="2022-10-28T00:00:00"/>
    <x v="5"/>
    <x v="3"/>
    <x v="166"/>
    <x v="14"/>
    <s v="RM CSM 450 64m(L) X 1860mm(W) (54kg)"/>
    <x v="95"/>
    <s v="Delivered"/>
    <n v="16"/>
    <s v="Roll"/>
    <n v="383.4"/>
    <n v="6134.4"/>
    <n v="1861995.1500000001"/>
    <s v="3/11/22, 14/11/22, 15/11/22"/>
    <n v="5"/>
    <n v="11"/>
    <s v="D0360(1), DO367(2), DO368(2)"/>
    <m/>
  </r>
  <r>
    <d v="2022-10-31T00:00:00"/>
    <x v="5"/>
    <x v="3"/>
    <x v="167"/>
    <x v="14"/>
    <s v="RM Gelcoat GSH (20Kg)"/>
    <x v="133"/>
    <s v="Ex"/>
    <n v="1"/>
    <s v="Pail"/>
    <n v="225"/>
    <n v="225"/>
    <n v="1862220.1500000001"/>
    <s v="31/10/22"/>
    <n v="1"/>
    <n v="0"/>
    <s v="DO357(1)"/>
    <m/>
  </r>
  <r>
    <d v="2022-10-31T00:00:00"/>
    <x v="5"/>
    <x v="3"/>
    <x v="167"/>
    <x v="14"/>
    <s v="RM Brush 3&quot; (12Pc)"/>
    <x v="128"/>
    <s v="Ex"/>
    <n v="4"/>
    <s v="Dozen"/>
    <n v="30"/>
    <n v="120"/>
    <n v="1862340.1500000001"/>
    <s v="29/11/11"/>
    <n v="4"/>
    <n v="0"/>
    <s v="DO374(4)"/>
    <m/>
  </r>
  <r>
    <s v="1/11/2022"/>
    <x v="6"/>
    <x v="3"/>
    <x v="168"/>
    <x v="14"/>
    <s v="RM Nor 3338NW (220Kg)"/>
    <x v="82"/>
    <s v="Ex"/>
    <n v="1"/>
    <s v="Drum"/>
    <n v="1606"/>
    <n v="1606"/>
    <n v="1863946.1500000001"/>
    <s v="1/11/2022"/>
    <n v="1"/>
    <n v="0"/>
    <s v="DO358(1)"/>
    <m/>
  </r>
  <r>
    <d v="2022-11-04T00:00:00"/>
    <x v="6"/>
    <x v="3"/>
    <x v="28"/>
    <x v="11"/>
    <s v="RJ Mepoxe (5kg)"/>
    <x v="88"/>
    <s v="Ex"/>
    <n v="8"/>
    <s v="Bottle"/>
    <n v="52.5"/>
    <n v="420"/>
    <n v="1864366.1500000001"/>
    <s v="4/11/22, 14/11/22"/>
    <n v="8"/>
    <n v="0"/>
    <s v="DO361(4), DO367(4)"/>
    <m/>
  </r>
  <r>
    <d v="2022-11-04T00:00:00"/>
    <x v="6"/>
    <x v="3"/>
    <x v="169"/>
    <x v="14"/>
    <s v="RM Resin 3338W (20Kg)"/>
    <x v="134"/>
    <s v="Ex"/>
    <n v="1"/>
    <s v="Pail"/>
    <n v="166"/>
    <n v="166"/>
    <n v="1864532.1500000001"/>
    <s v="5/11/22"/>
    <n v="1"/>
    <n v="0"/>
    <s v="DO362(1)"/>
    <m/>
  </r>
  <r>
    <d v="2022-11-04T00:00:00"/>
    <x v="6"/>
    <x v="3"/>
    <x v="169"/>
    <x v="14"/>
    <s v="RM CSM 450 64m(L) X 1860mm(W) (54kg)"/>
    <x v="95"/>
    <s v="Ex"/>
    <n v="1"/>
    <s v="Roll"/>
    <n v="383.4"/>
    <n v="383.4"/>
    <n v="1864915.55"/>
    <s v="5/11/22"/>
    <n v="1"/>
    <n v="0"/>
    <s v="DO362(1)"/>
    <m/>
  </r>
  <r>
    <d v="2022-11-07T00:00:00"/>
    <x v="6"/>
    <x v="3"/>
    <x v="170"/>
    <x v="14"/>
    <s v="RM Acetone (163Kg)"/>
    <x v="91"/>
    <s v="Ex"/>
    <n v="1"/>
    <s v="Drum"/>
    <n v="896.5"/>
    <n v="896.5"/>
    <n v="1865812.05"/>
    <s v="7/11/22"/>
    <n v="1"/>
    <n v="0"/>
    <s v="DO363(1)"/>
    <m/>
  </r>
  <r>
    <d v="2022-11-07T00:00:00"/>
    <x v="6"/>
    <x v="3"/>
    <x v="170"/>
    <x v="14"/>
    <s v="RM Pigment Super Black (5Kg)"/>
    <x v="106"/>
    <s v="Ex"/>
    <n v="1"/>
    <s v="Pail"/>
    <n v="120"/>
    <n v="120"/>
    <n v="1865932.05"/>
    <s v="7/11/22"/>
    <n v="1"/>
    <n v="0"/>
    <s v="DO363(1)"/>
    <m/>
  </r>
  <r>
    <d v="2022-11-09T00:00:00"/>
    <x v="6"/>
    <x v="3"/>
    <x v="171"/>
    <x v="14"/>
    <s v="RM Resin 3338W (22.50Kg)"/>
    <x v="135"/>
    <s v="Ex"/>
    <n v="4"/>
    <s v="Pail"/>
    <n v="186.75"/>
    <n v="747"/>
    <n v="1866679.05"/>
    <s v="8/11/22"/>
    <n v="4"/>
    <n v="0"/>
    <s v="DO364(4)"/>
    <m/>
  </r>
  <r>
    <d v="2022-11-09T00:00:00"/>
    <x v="6"/>
    <x v="3"/>
    <x v="171"/>
    <x v="14"/>
    <s v="RM VE Resin SW091-3P (22.50Kg)"/>
    <x v="136"/>
    <s v="Ex"/>
    <n v="4"/>
    <s v="Pail"/>
    <n v="348.75"/>
    <n v="1395"/>
    <n v="1868074.05"/>
    <s v="8/11/22"/>
    <n v="4"/>
    <n v="0"/>
    <s v="DO364(4)"/>
    <m/>
  </r>
  <r>
    <d v="2022-11-09T00:00:00"/>
    <x v="6"/>
    <x v="3"/>
    <x v="171"/>
    <x v="14"/>
    <s v="RM CSM 450 79m(L) x 1040mm(W) (30kg)"/>
    <x v="130"/>
    <s v="Ex"/>
    <n v="3"/>
    <s v="Roll"/>
    <n v="213"/>
    <n v="639"/>
    <n v="1868713.05"/>
    <s v="8/11/22"/>
    <n v="3"/>
    <n v="0"/>
    <s v="DO364(3)"/>
    <m/>
  </r>
  <r>
    <d v="2022-11-14T00:00:00"/>
    <x v="6"/>
    <x v="3"/>
    <x v="172"/>
    <x v="14"/>
    <s v="RM Pigment Super White (5Kg)"/>
    <x v="118"/>
    <s v="Ex"/>
    <n v="4"/>
    <s v="Pail"/>
    <n v="115"/>
    <n v="460"/>
    <n v="1869173.05"/>
    <s v="14/11/22"/>
    <n v="4"/>
    <n v="0"/>
    <s v="DO367(4)"/>
    <m/>
  </r>
  <r>
    <d v="2022-11-14T00:00:00"/>
    <x v="6"/>
    <x v="3"/>
    <x v="172"/>
    <x v="14"/>
    <s v="RM Acetone (163Kg)"/>
    <x v="91"/>
    <s v="Ex"/>
    <n v="1"/>
    <s v="Drum"/>
    <n v="896.5"/>
    <n v="896.5"/>
    <n v="1870069.55"/>
    <s v="14/11/22"/>
    <n v="1"/>
    <n v="0"/>
    <s v="DO367(1)"/>
    <m/>
  </r>
  <r>
    <d v="2022-11-14T00:00:00"/>
    <x v="6"/>
    <x v="3"/>
    <x v="172"/>
    <x v="14"/>
    <s v="RM Gelcoat GPH (20Kg)"/>
    <x v="105"/>
    <s v="Ex"/>
    <n v="6"/>
    <s v="Pail"/>
    <n v="220"/>
    <n v="1320"/>
    <n v="1871389.55"/>
    <s v="14/11/22"/>
    <n v="6"/>
    <n v="0"/>
    <s v="DO367(6)"/>
    <m/>
  </r>
  <r>
    <d v="2022-11-14T00:00:00"/>
    <x v="6"/>
    <x v="3"/>
    <x v="172"/>
    <x v="14"/>
    <s v="RM TR104 Hi Temp Wax"/>
    <x v="117"/>
    <s v="Ex"/>
    <n v="12"/>
    <s v="Can"/>
    <n v="40"/>
    <n v="480"/>
    <n v="1871869.55"/>
    <s v="14/11/22, "/>
    <n v="6"/>
    <n v="6"/>
    <s v="DO367(6), "/>
    <m/>
  </r>
  <r>
    <d v="2022-11-14T00:00:00"/>
    <x v="6"/>
    <x v="3"/>
    <x v="172"/>
    <x v="14"/>
    <s v="RM CSM 300 96m(L) X 1860mm(W) (54kg)"/>
    <x v="137"/>
    <s v="Ex"/>
    <n v="2"/>
    <s v="Roll"/>
    <n v="378"/>
    <n v="756"/>
    <n v="1872625.55"/>
    <s v="14/11/22"/>
    <n v="2"/>
    <n v="0"/>
    <s v="DO367(2)"/>
    <m/>
  </r>
  <r>
    <d v="2022-11-15T00:00:00"/>
    <x v="6"/>
    <x v="3"/>
    <x v="173"/>
    <x v="14"/>
    <s v="RM Resin 3338W (220Kg)"/>
    <x v="123"/>
    <s v="Delivered"/>
    <n v="5"/>
    <s v="Drum"/>
    <n v="1606"/>
    <n v="8030"/>
    <n v="1880655.55"/>
    <s v="22/11/22"/>
    <n v="5"/>
    <n v="0"/>
    <s v="DO372(5)"/>
    <m/>
  </r>
  <r>
    <d v="2022-11-15T00:00:00"/>
    <x v="6"/>
    <x v="3"/>
    <x v="173"/>
    <x v="14"/>
    <s v="RM Pigment Paste Smooth Cream M19 (25kg)"/>
    <x v="92"/>
    <s v="Delivered"/>
    <n v="4"/>
    <s v="Pail"/>
    <n v="650"/>
    <n v="2600"/>
    <n v="1883255.55"/>
    <s v="22/11/22"/>
    <n v="1"/>
    <n v="3"/>
    <s v="DO372(1)"/>
    <m/>
  </r>
  <r>
    <d v="2022-11-15T00:00:00"/>
    <x v="6"/>
    <x v="3"/>
    <x v="173"/>
    <x v="14"/>
    <s v="RM Fume silica HJSIL 200 (10Kg)"/>
    <x v="98"/>
    <s v="Delivered"/>
    <n v="3"/>
    <s v="Bag"/>
    <n v="360"/>
    <n v="1080"/>
    <n v="1884335.55"/>
    <m/>
    <m/>
    <n v="3"/>
    <m/>
    <m/>
  </r>
  <r>
    <d v="2022-11-15T00:00:00"/>
    <x v="6"/>
    <x v="3"/>
    <x v="173"/>
    <x v="14"/>
    <s v="RM MEKP-9 (3.6kg)"/>
    <x v="138"/>
    <s v="Delivered"/>
    <n v="12"/>
    <s v="Pail"/>
    <n v="68.400000000000006"/>
    <n v="820.80000000000007"/>
    <n v="1885156.35"/>
    <s v="22/11/22"/>
    <n v="6"/>
    <n v="6"/>
    <s v="DO372(6)"/>
    <m/>
  </r>
  <r>
    <d v="2022-11-15T00:00:00"/>
    <x v="6"/>
    <x v="3"/>
    <x v="173"/>
    <x v="14"/>
    <s v="RM CSM 300 96m(L) X 1860mm(W) (54kg)"/>
    <x v="137"/>
    <s v="Delivered"/>
    <n v="10"/>
    <s v="Roll"/>
    <n v="378"/>
    <n v="3780"/>
    <n v="1888936.35"/>
    <m/>
    <m/>
    <n v="10"/>
    <m/>
    <m/>
  </r>
  <r>
    <d v="2022-11-17T00:00:00"/>
    <x v="6"/>
    <x v="3"/>
    <x v="174"/>
    <x v="0"/>
    <s v="RA CSM 450 TWL 79m(L) x 1040mm(W) (30kg)"/>
    <x v="124"/>
    <s v="Delivered"/>
    <n v="40"/>
    <s v="Roll"/>
    <n v="180"/>
    <n v="7200"/>
    <n v="1896136.35"/>
    <s v="22/11/22, 29/11/22"/>
    <n v="6"/>
    <n v="34"/>
    <s v="DO372(1), DO374(5)"/>
    <m/>
  </r>
  <r>
    <d v="2022-11-17T00:00:00"/>
    <x v="6"/>
    <x v="3"/>
    <x v="174"/>
    <x v="0"/>
    <s v="RA Butanox M50 (5kg)"/>
    <x v="7"/>
    <s v="Delivered"/>
    <n v="32"/>
    <s v="Bottle"/>
    <n v="95"/>
    <n v="3040"/>
    <n v="1899176.35"/>
    <s v="17/11/22, 29/11/22, 29/11/22, 30/11/22"/>
    <n v="12"/>
    <n v="20"/>
    <s v="DO369(1), DO373(6), DO374(4), DO376(1)"/>
    <m/>
  </r>
  <r>
    <d v="2022-11-17T00:00:00"/>
    <x v="6"/>
    <x v="3"/>
    <x v="174"/>
    <x v="0"/>
    <s v="RA Resin 3338W (220Kg)"/>
    <x v="125"/>
    <s v="Delivered"/>
    <n v="5"/>
    <s v="Drum"/>
    <n v="1606"/>
    <n v="8030"/>
    <n v="1907206.35"/>
    <s v="29/11/22"/>
    <n v="5"/>
    <n v="0"/>
    <s v="DO374(5)"/>
    <m/>
  </r>
  <r>
    <d v="2022-11-17T00:00:00"/>
    <x v="6"/>
    <x v="3"/>
    <x v="28"/>
    <x v="15"/>
    <s v="RN Bosny Wax (15Kg)"/>
    <x v="139"/>
    <s v="Delivered"/>
    <n v="1"/>
    <s v="Pail"/>
    <n v="320"/>
    <n v="320"/>
    <n v="1907526.35"/>
    <m/>
    <m/>
    <n v="1"/>
    <m/>
    <m/>
  </r>
  <r>
    <d v="2022-11-21T00:00:00"/>
    <x v="6"/>
    <x v="3"/>
    <x v="28"/>
    <x v="14"/>
    <s v="RA Resin 3338W (20Kg)"/>
    <x v="140"/>
    <s v="Ex"/>
    <n v="3"/>
    <s v="Pail"/>
    <n v="166"/>
    <n v="498"/>
    <n v="1908024.35"/>
    <m/>
    <n v="3"/>
    <n v="0"/>
    <s v="DO371(3)"/>
    <m/>
  </r>
  <r>
    <d v="2022-11-22T00:00:00"/>
    <x v="6"/>
    <x v="3"/>
    <x v="28"/>
    <x v="14"/>
    <s v="RM Resin 3317AW (220Kg)"/>
    <x v="111"/>
    <s v="Delivered"/>
    <n v="15"/>
    <s v="Drum"/>
    <n v="1606"/>
    <n v="24090"/>
    <n v="1932114.35"/>
    <s v="29/11/22"/>
    <n v="1"/>
    <n v="14"/>
    <s v="DO373(1)"/>
    <m/>
  </r>
  <r>
    <d v="2022-11-29T00:00:00"/>
    <x v="6"/>
    <x v="3"/>
    <x v="175"/>
    <x v="14"/>
    <s v="Gelcoat GPH (20kg)"/>
    <x v="141"/>
    <s v="Ex"/>
    <n v="1"/>
    <s v="Pail"/>
    <n v="220"/>
    <n v="220"/>
    <n v="1932334.35"/>
    <s v="29/11/22"/>
    <n v="1"/>
    <n v="0"/>
    <s v="DO374(1)"/>
    <m/>
  </r>
  <r>
    <d v="2022-11-30T00:00:00"/>
    <x v="6"/>
    <x v="3"/>
    <x v="176"/>
    <x v="0"/>
    <s v="RA Resin 3338W (220Kg)"/>
    <x v="125"/>
    <s v="Delivered"/>
    <n v="10"/>
    <s v="Drum"/>
    <n v="1606"/>
    <n v="16060"/>
    <n v="1948394.35"/>
    <m/>
    <m/>
    <n v="10"/>
    <m/>
    <m/>
  </r>
  <r>
    <d v="2022-11-30T00:00:00"/>
    <x v="6"/>
    <x v="3"/>
    <x v="176"/>
    <x v="0"/>
    <s v="RA CSM 450 TWL 79m(L) x 1040mm(W) (30kg)"/>
    <x v="124"/>
    <s v="Delivered"/>
    <n v="40"/>
    <s v="Roll"/>
    <n v="177"/>
    <n v="7080"/>
    <n v="1955474.35"/>
    <m/>
    <m/>
    <n v="40"/>
    <m/>
    <m/>
  </r>
  <r>
    <d v="2022-11-30T00:00:00"/>
    <x v="6"/>
    <x v="3"/>
    <x v="177"/>
    <x v="14"/>
    <s v="RA Resin 3338W (20Kg)"/>
    <x v="140"/>
    <s v="Ex"/>
    <n v="2"/>
    <s v="Pail"/>
    <n v="166"/>
    <n v="332"/>
    <n v="1955806.35"/>
    <s v="30/11/22, 30/11/22"/>
    <n v="2"/>
    <n v="0"/>
    <s v="DO375(1), D0376(1)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FD67D9-0B46-4E34-94B8-26FE38C2B463}" name="PivotTable2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G395" firstHeaderRow="1" firstDataRow="2" firstDataCol="4"/>
  <pivotFields count="18">
    <pivotField compact="0" numFmtId="14" outline="0" showAll="0"/>
    <pivotField compact="0" outline="0" showAll="0"/>
    <pivotField axis="axisRow" compact="0" outline="0" showAll="0">
      <items count="5">
        <item x="0"/>
        <item x="1"/>
        <item x="2"/>
        <item x="3"/>
        <item t="default"/>
      </items>
    </pivotField>
    <pivotField axis="axisRow" compact="0" outline="0" showAll="0" defaultSubtotal="0">
      <items count="178">
        <item x="2"/>
        <item x="35"/>
        <item x="36"/>
        <item x="37"/>
        <item x="41"/>
        <item x="40"/>
        <item x="39"/>
        <item x="42"/>
        <item x="43"/>
        <item x="44"/>
        <item x="45"/>
        <item x="46"/>
        <item x="47"/>
        <item x="49"/>
        <item x="1"/>
        <item x="3"/>
        <item x="4"/>
        <item x="5"/>
        <item x="6"/>
        <item x="14"/>
        <item x="13"/>
        <item x="15"/>
        <item x="16"/>
        <item x="17"/>
        <item x="18"/>
        <item x="20"/>
        <item x="21"/>
        <item x="22"/>
        <item x="26"/>
        <item x="23"/>
        <item x="24"/>
        <item x="25"/>
        <item x="27"/>
        <item x="30"/>
        <item x="32"/>
        <item x="29"/>
        <item x="34"/>
        <item x="31"/>
        <item x="7"/>
        <item x="8"/>
        <item x="19"/>
        <item x="33"/>
        <item x="38"/>
        <item x="11"/>
        <item x="12"/>
        <item x="28"/>
        <item x="50"/>
        <item x="51"/>
        <item x="52"/>
        <item x="53"/>
        <item x="54"/>
        <item x="55"/>
        <item x="0"/>
        <item x="9"/>
        <item x="56"/>
        <item x="57"/>
        <item x="58"/>
        <item x="59"/>
        <item x="60"/>
        <item x="64"/>
        <item x="67"/>
        <item x="68"/>
        <item x="69"/>
        <item x="61"/>
        <item x="62"/>
        <item x="63"/>
        <item x="65"/>
        <item x="66"/>
        <item x="70"/>
        <item x="72"/>
        <item x="73"/>
        <item x="74"/>
        <item x="10"/>
        <item x="78"/>
        <item x="77"/>
        <item x="80"/>
        <item x="83"/>
        <item x="84"/>
        <item x="85"/>
        <item x="90"/>
        <item x="75"/>
        <item x="76"/>
        <item x="81"/>
        <item x="82"/>
        <item x="86"/>
        <item x="87"/>
        <item x="88"/>
        <item x="89"/>
        <item x="91"/>
        <item x="92"/>
        <item x="93"/>
        <item x="94"/>
        <item x="95"/>
        <item x="96"/>
        <item x="97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1"/>
        <item x="112"/>
        <item x="113"/>
        <item x="114"/>
        <item x="115"/>
        <item x="116"/>
        <item x="110"/>
        <item x="117"/>
        <item x="119"/>
        <item x="120"/>
        <item x="121"/>
        <item x="122"/>
        <item x="123"/>
        <item x="126"/>
        <item x="127"/>
        <item x="130"/>
        <item x="132"/>
        <item x="133"/>
        <item x="135"/>
        <item x="134"/>
        <item x="79"/>
        <item x="137"/>
        <item x="138"/>
        <item x="139"/>
        <item x="140"/>
        <item x="141"/>
        <item x="142"/>
        <item x="48"/>
        <item x="71"/>
        <item x="98"/>
        <item x="118"/>
        <item x="124"/>
        <item x="125"/>
        <item x="128"/>
        <item x="129"/>
        <item x="131"/>
        <item x="136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</items>
    </pivotField>
    <pivotField axis="axisRow" compact="0" outline="0" showAll="0">
      <items count="17">
        <item x="0"/>
        <item x="1"/>
        <item x="3"/>
        <item x="2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compact="0" outline="0" showAll="0"/>
    <pivotField axis="axisRow" compact="0" outline="0" showAll="0">
      <items count="143">
        <item x="24"/>
        <item x="21"/>
        <item x="38"/>
        <item x="18"/>
        <item x="32"/>
        <item x="16"/>
        <item x="7"/>
        <item x="3"/>
        <item x="14"/>
        <item x="2"/>
        <item x="6"/>
        <item x="23"/>
        <item x="29"/>
        <item x="4"/>
        <item x="15"/>
        <item x="5"/>
        <item x="19"/>
        <item x="25"/>
        <item x="11"/>
        <item x="9"/>
        <item x="22"/>
        <item x="28"/>
        <item x="30"/>
        <item x="20"/>
        <item x="37"/>
        <item x="17"/>
        <item x="1"/>
        <item x="0"/>
        <item x="31"/>
        <item x="35"/>
        <item x="34"/>
        <item x="10"/>
        <item x="26"/>
        <item x="8"/>
        <item x="13"/>
        <item x="12"/>
        <item x="27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  <item t="default"/>
      </items>
    </pivotField>
    <pivotField compact="0" outline="0" showAll="0"/>
    <pivotField dataField="1" compact="0" outline="0" showAll="0"/>
    <pivotField compact="0" outline="0" showAll="0"/>
    <pivotField dataField="1" compact="0" outline="0" showAll="0"/>
    <pivotField dataField="1" compact="0" numFmtId="43" outline="0" showAll="0"/>
    <pivotField compact="0" numFmtId="43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</pivotFields>
  <rowFields count="4">
    <field x="2"/>
    <field x="4"/>
    <field x="3"/>
    <field x="6"/>
  </rowFields>
  <rowItems count="391">
    <i>
      <x/>
      <x/>
      <x v="52"/>
      <x v="7"/>
    </i>
    <i r="3">
      <x v="9"/>
    </i>
    <i r="3">
      <x v="13"/>
    </i>
    <i r="3">
      <x v="26"/>
    </i>
    <i r="3">
      <x v="27"/>
    </i>
    <i t="default" r="1">
      <x/>
    </i>
    <i t="default">
      <x/>
    </i>
    <i>
      <x v="1"/>
      <x/>
      <x v="1"/>
      <x v="25"/>
    </i>
    <i r="2">
      <x v="2"/>
      <x v="31"/>
    </i>
    <i r="2">
      <x v="3"/>
      <x v="15"/>
    </i>
    <i r="2">
      <x v="14"/>
      <x v="6"/>
    </i>
    <i r="3">
      <x v="10"/>
    </i>
    <i r="3">
      <x v="15"/>
    </i>
    <i r="3">
      <x v="26"/>
    </i>
    <i r="2">
      <x v="15"/>
      <x v="6"/>
    </i>
    <i r="3">
      <x v="9"/>
    </i>
    <i r="3">
      <x v="19"/>
    </i>
    <i r="3">
      <x v="31"/>
    </i>
    <i r="2">
      <x v="16"/>
      <x v="18"/>
    </i>
    <i r="3">
      <x v="19"/>
    </i>
    <i r="2">
      <x v="17"/>
      <x v="13"/>
    </i>
    <i r="3">
      <x v="26"/>
    </i>
    <i r="3">
      <x v="27"/>
    </i>
    <i r="2">
      <x v="18"/>
      <x v="35"/>
    </i>
    <i r="2">
      <x v="19"/>
      <x v="25"/>
    </i>
    <i r="2">
      <x v="20"/>
      <x v="5"/>
    </i>
    <i r="3">
      <x v="19"/>
    </i>
    <i r="2">
      <x v="21"/>
      <x v="35"/>
    </i>
    <i r="2">
      <x v="22"/>
      <x v="6"/>
    </i>
    <i r="3">
      <x v="13"/>
    </i>
    <i r="2">
      <x v="23"/>
      <x v="3"/>
    </i>
    <i r="3">
      <x v="19"/>
    </i>
    <i r="2">
      <x v="24"/>
      <x v="8"/>
    </i>
    <i r="3">
      <x v="10"/>
    </i>
    <i r="3">
      <x v="13"/>
    </i>
    <i r="3">
      <x v="18"/>
    </i>
    <i r="3">
      <x v="19"/>
    </i>
    <i r="2">
      <x v="25"/>
      <x v="8"/>
    </i>
    <i r="3">
      <x v="9"/>
    </i>
    <i r="3">
      <x v="10"/>
    </i>
    <i r="2">
      <x v="26"/>
      <x v="19"/>
    </i>
    <i r="2">
      <x v="27"/>
      <x v="6"/>
    </i>
    <i r="3">
      <x v="13"/>
    </i>
    <i r="3">
      <x v="18"/>
    </i>
    <i r="2">
      <x v="28"/>
      <x v="25"/>
    </i>
    <i r="2">
      <x v="29"/>
      <x v="19"/>
    </i>
    <i r="2">
      <x v="30"/>
      <x v="14"/>
    </i>
    <i r="2">
      <x v="31"/>
      <x v="16"/>
    </i>
    <i r="2">
      <x v="32"/>
      <x v="15"/>
    </i>
    <i r="3">
      <x v="23"/>
    </i>
    <i r="2">
      <x v="33"/>
      <x v="19"/>
    </i>
    <i r="2">
      <x v="34"/>
      <x v="19"/>
    </i>
    <i r="2">
      <x v="35"/>
      <x v="5"/>
    </i>
    <i r="3">
      <x v="20"/>
    </i>
    <i r="2">
      <x v="36"/>
      <x/>
    </i>
    <i r="3">
      <x v="11"/>
    </i>
    <i r="2">
      <x v="37"/>
      <x v="6"/>
    </i>
    <i r="2">
      <x v="43"/>
      <x v="19"/>
    </i>
    <i r="2">
      <x v="44"/>
      <x v="14"/>
    </i>
    <i r="2">
      <x v="53"/>
      <x v="15"/>
    </i>
    <i r="2">
      <x v="72"/>
      <x v="8"/>
    </i>
    <i t="default" r="1">
      <x/>
    </i>
    <i r="1">
      <x v="1"/>
      <x/>
      <x v="33"/>
    </i>
    <i t="default" r="1">
      <x v="1"/>
    </i>
    <i r="1">
      <x v="2"/>
      <x v="45"/>
      <x v="1"/>
    </i>
    <i t="default" r="1">
      <x v="2"/>
    </i>
    <i r="1">
      <x v="3"/>
      <x v="38"/>
      <x v="34"/>
    </i>
    <i r="2">
      <x v="39"/>
      <x v="34"/>
    </i>
    <i r="2">
      <x v="40"/>
      <x v="34"/>
    </i>
    <i r="2">
      <x v="41"/>
      <x v="34"/>
    </i>
    <i r="2">
      <x v="42"/>
      <x v="17"/>
    </i>
    <i t="default" r="1">
      <x v="3"/>
    </i>
    <i t="default">
      <x v="1"/>
    </i>
    <i>
      <x v="2"/>
      <x/>
      <x v="4"/>
      <x v="11"/>
    </i>
    <i r="2">
      <x v="5"/>
      <x v="4"/>
    </i>
    <i r="3">
      <x v="12"/>
    </i>
    <i r="3">
      <x v="21"/>
    </i>
    <i r="3">
      <x v="22"/>
    </i>
    <i r="3">
      <x v="28"/>
    </i>
    <i r="3">
      <x v="36"/>
    </i>
    <i r="3">
      <x v="75"/>
    </i>
    <i r="2">
      <x v="6"/>
      <x v="32"/>
    </i>
    <i r="2">
      <x v="7"/>
      <x v="29"/>
    </i>
    <i r="3">
      <x v="30"/>
    </i>
    <i r="2">
      <x v="8"/>
      <x v="16"/>
    </i>
    <i r="3">
      <x v="21"/>
    </i>
    <i r="2">
      <x v="9"/>
      <x v="12"/>
    </i>
    <i r="2">
      <x v="10"/>
      <x v="6"/>
    </i>
    <i r="3">
      <x v="19"/>
    </i>
    <i r="3">
      <x v="25"/>
    </i>
    <i r="3">
      <x v="31"/>
    </i>
    <i r="3">
      <x v="49"/>
    </i>
    <i r="2">
      <x v="11"/>
      <x v="11"/>
    </i>
    <i r="3">
      <x v="16"/>
    </i>
    <i r="3">
      <x v="24"/>
    </i>
    <i r="2">
      <x v="12"/>
      <x v="21"/>
    </i>
    <i r="2">
      <x v="13"/>
      <x v="75"/>
    </i>
    <i r="2">
      <x v="46"/>
      <x v="13"/>
    </i>
    <i r="3">
      <x v="19"/>
    </i>
    <i r="2">
      <x v="47"/>
      <x v="19"/>
    </i>
    <i r="2">
      <x v="54"/>
      <x v="21"/>
    </i>
    <i r="2">
      <x v="55"/>
      <x v="6"/>
    </i>
    <i r="3">
      <x v="49"/>
    </i>
    <i r="2">
      <x v="56"/>
      <x v="8"/>
    </i>
    <i r="2">
      <x v="57"/>
      <x v="11"/>
    </i>
    <i r="2">
      <x v="58"/>
      <x v="40"/>
    </i>
    <i r="2">
      <x v="63"/>
      <x v="19"/>
    </i>
    <i r="2">
      <x v="64"/>
      <x v="15"/>
    </i>
    <i r="3">
      <x v="19"/>
    </i>
    <i r="2">
      <x v="65"/>
      <x v="13"/>
    </i>
    <i r="2">
      <x v="66"/>
      <x v="4"/>
    </i>
    <i r="2">
      <x v="67"/>
      <x v="19"/>
    </i>
    <i r="3">
      <x v="31"/>
    </i>
    <i r="2">
      <x v="68"/>
      <x v="4"/>
    </i>
    <i r="3">
      <x v="6"/>
    </i>
    <i r="3">
      <x v="19"/>
    </i>
    <i r="2">
      <x v="69"/>
      <x v="47"/>
    </i>
    <i r="3">
      <x v="48"/>
    </i>
    <i r="2">
      <x v="70"/>
      <x v="18"/>
    </i>
    <i r="3">
      <x v="25"/>
    </i>
    <i r="2">
      <x v="73"/>
      <x v="47"/>
    </i>
    <i r="2">
      <x v="75"/>
      <x v="31"/>
    </i>
    <i r="3">
      <x v="47"/>
    </i>
    <i r="3">
      <x v="49"/>
    </i>
    <i r="3">
      <x v="51"/>
    </i>
    <i r="3">
      <x v="52"/>
    </i>
    <i r="2">
      <x v="76"/>
      <x v="56"/>
    </i>
    <i r="2">
      <x v="77"/>
      <x v="47"/>
    </i>
    <i r="3">
      <x v="52"/>
    </i>
    <i r="2">
      <x v="80"/>
      <x v="19"/>
    </i>
    <i r="2">
      <x v="81"/>
      <x v="4"/>
    </i>
    <i r="3">
      <x v="25"/>
    </i>
    <i r="3">
      <x v="47"/>
    </i>
    <i r="3">
      <x v="49"/>
    </i>
    <i r="2">
      <x v="85"/>
      <x v="49"/>
    </i>
    <i r="2">
      <x v="87"/>
      <x v="6"/>
    </i>
    <i r="3">
      <x v="52"/>
    </i>
    <i r="2">
      <x v="88"/>
      <x v="19"/>
    </i>
    <i r="2">
      <x v="89"/>
      <x v="47"/>
    </i>
    <i r="3">
      <x v="61"/>
    </i>
    <i r="2">
      <x v="90"/>
      <x v="47"/>
    </i>
    <i r="2">
      <x v="91"/>
      <x v="52"/>
    </i>
    <i r="2">
      <x v="92"/>
      <x v="4"/>
    </i>
    <i r="2">
      <x v="93"/>
      <x v="6"/>
    </i>
    <i r="3">
      <x v="49"/>
    </i>
    <i r="2">
      <x v="96"/>
      <x v="52"/>
    </i>
    <i r="2">
      <x v="97"/>
      <x v="31"/>
    </i>
    <i r="2">
      <x v="98"/>
      <x v="31"/>
    </i>
    <i r="2">
      <x v="101"/>
      <x v="6"/>
    </i>
    <i r="3">
      <x v="49"/>
    </i>
    <i r="2">
      <x v="103"/>
      <x v="4"/>
    </i>
    <i r="3">
      <x v="63"/>
    </i>
    <i r="2">
      <x v="104"/>
      <x v="52"/>
    </i>
    <i r="3">
      <x v="64"/>
    </i>
    <i r="2">
      <x v="105"/>
      <x v="21"/>
    </i>
    <i r="3">
      <x v="65"/>
    </i>
    <i r="2">
      <x v="108"/>
      <x v="3"/>
    </i>
    <i r="2">
      <x v="113"/>
      <x v="71"/>
    </i>
    <i r="3">
      <x v="72"/>
    </i>
    <i r="2">
      <x v="135"/>
      <x v="13"/>
    </i>
    <i r="2">
      <x v="136"/>
      <x v="71"/>
    </i>
    <i t="default" r="1">
      <x/>
    </i>
    <i r="1">
      <x v="2"/>
      <x v="45"/>
      <x v="44"/>
    </i>
    <i r="2">
      <x v="133"/>
      <x v="2"/>
    </i>
    <i r="2">
      <x v="134"/>
      <x v="44"/>
    </i>
    <i r="3">
      <x v="45"/>
    </i>
    <i t="default" r="1">
      <x v="2"/>
    </i>
    <i r="1">
      <x v="4"/>
      <x v="48"/>
      <x v="37"/>
    </i>
    <i r="2">
      <x v="50"/>
      <x v="38"/>
    </i>
    <i r="3">
      <x v="39"/>
    </i>
    <i t="default" r="1">
      <x v="4"/>
    </i>
    <i r="1">
      <x v="5"/>
      <x v="49"/>
      <x v="13"/>
    </i>
    <i t="default" r="1">
      <x v="5"/>
    </i>
    <i r="1">
      <x v="6"/>
      <x v="51"/>
      <x v="76"/>
    </i>
    <i r="2">
      <x v="79"/>
      <x v="76"/>
    </i>
    <i t="default" r="1">
      <x v="6"/>
    </i>
    <i r="1">
      <x v="7"/>
      <x v="59"/>
      <x v="41"/>
    </i>
    <i r="3">
      <x v="42"/>
    </i>
    <i r="2">
      <x v="60"/>
      <x v="43"/>
    </i>
    <i r="2">
      <x v="71"/>
      <x v="41"/>
    </i>
    <i r="2">
      <x v="106"/>
      <x v="41"/>
    </i>
    <i r="3">
      <x v="42"/>
    </i>
    <i r="3">
      <x v="43"/>
    </i>
    <i r="2">
      <x v="112"/>
      <x v="70"/>
    </i>
    <i t="default" r="1">
      <x v="7"/>
    </i>
    <i r="1">
      <x v="8"/>
      <x v="61"/>
      <x v="46"/>
    </i>
    <i r="2">
      <x v="74"/>
      <x v="46"/>
    </i>
    <i r="2">
      <x v="86"/>
      <x v="60"/>
    </i>
    <i r="2">
      <x v="95"/>
      <x v="60"/>
    </i>
    <i r="2">
      <x v="102"/>
      <x v="60"/>
    </i>
    <i r="2">
      <x v="107"/>
      <x v="66"/>
    </i>
    <i t="default" r="1">
      <x v="8"/>
    </i>
    <i r="1">
      <x v="9"/>
      <x v="62"/>
      <x v="80"/>
    </i>
    <i t="default" r="1">
      <x v="9"/>
    </i>
    <i r="1">
      <x v="10"/>
      <x v="126"/>
      <x v="50"/>
    </i>
    <i t="default" r="1">
      <x v="10"/>
    </i>
    <i r="1">
      <x v="11"/>
      <x v="78"/>
      <x v="53"/>
    </i>
    <i r="3">
      <x v="57"/>
    </i>
    <i r="3">
      <x v="59"/>
    </i>
    <i r="2">
      <x v="82"/>
      <x v="53"/>
    </i>
    <i r="3">
      <x v="54"/>
    </i>
    <i r="2">
      <x v="83"/>
      <x v="55"/>
    </i>
    <i r="2">
      <x v="99"/>
      <x v="53"/>
    </i>
    <i r="3">
      <x v="59"/>
    </i>
    <i r="2">
      <x v="100"/>
      <x v="52"/>
    </i>
    <i t="default" r="1">
      <x v="11"/>
    </i>
    <i r="1">
      <x v="12"/>
      <x v="84"/>
      <x v="58"/>
    </i>
    <i t="default" r="1">
      <x v="12"/>
    </i>
    <i r="1">
      <x v="13"/>
      <x v="94"/>
      <x v="62"/>
    </i>
    <i r="2">
      <x v="109"/>
      <x v="67"/>
    </i>
    <i r="3">
      <x v="68"/>
    </i>
    <i r="3">
      <x v="69"/>
    </i>
    <i r="2">
      <x v="110"/>
      <x v="67"/>
    </i>
    <i r="2">
      <x v="111"/>
      <x v="67"/>
    </i>
    <i t="default" r="1">
      <x v="13"/>
    </i>
    <i t="default">
      <x v="2"/>
    </i>
    <i>
      <x v="3"/>
      <x/>
      <x v="45"/>
      <x v="6"/>
    </i>
    <i r="3">
      <x v="8"/>
    </i>
    <i r="3">
      <x v="16"/>
    </i>
    <i r="3">
      <x v="19"/>
    </i>
    <i r="3">
      <x v="25"/>
    </i>
    <i r="3">
      <x v="31"/>
    </i>
    <i r="3">
      <x v="71"/>
    </i>
    <i r="3">
      <x v="98"/>
    </i>
    <i r="3">
      <x v="99"/>
    </i>
    <i r="3">
      <x v="108"/>
    </i>
    <i r="3">
      <x v="109"/>
    </i>
    <i r="3">
      <x v="110"/>
    </i>
    <i r="3">
      <x v="120"/>
    </i>
    <i r="3">
      <x v="124"/>
    </i>
    <i r="3">
      <x v="125"/>
    </i>
    <i r="2">
      <x v="137"/>
      <x v="3"/>
    </i>
    <i r="3">
      <x v="19"/>
    </i>
    <i r="3">
      <x v="31"/>
    </i>
    <i r="3">
      <x v="49"/>
    </i>
    <i r="2">
      <x v="138"/>
      <x v="19"/>
    </i>
    <i r="2">
      <x v="139"/>
      <x v="25"/>
    </i>
    <i r="2">
      <x v="140"/>
      <x v="19"/>
    </i>
    <i r="2">
      <x v="141"/>
      <x v="4"/>
    </i>
    <i r="3">
      <x v="6"/>
    </i>
    <i r="3">
      <x v="24"/>
    </i>
    <i r="2">
      <x v="142"/>
      <x v="19"/>
    </i>
    <i r="3">
      <x v="25"/>
    </i>
    <i r="2">
      <x v="147"/>
      <x v="16"/>
    </i>
    <i r="2">
      <x v="151"/>
      <x v="110"/>
    </i>
    <i r="2">
      <x v="152"/>
      <x v="99"/>
    </i>
    <i r="2">
      <x v="153"/>
      <x v="31"/>
    </i>
    <i r="2">
      <x v="154"/>
      <x v="108"/>
    </i>
    <i r="2">
      <x v="160"/>
      <x v="86"/>
    </i>
    <i r="2">
      <x v="174"/>
      <x v="6"/>
    </i>
    <i r="3">
      <x v="124"/>
    </i>
    <i r="3">
      <x v="125"/>
    </i>
    <i r="2">
      <x v="176"/>
      <x v="124"/>
    </i>
    <i r="3">
      <x v="125"/>
    </i>
    <i t="default" r="1">
      <x/>
    </i>
    <i r="1">
      <x v="2"/>
      <x v="45"/>
      <x v="1"/>
    </i>
    <i r="3">
      <x v="114"/>
    </i>
    <i t="default" r="1">
      <x v="2"/>
    </i>
    <i r="1">
      <x v="6"/>
      <x v="116"/>
      <x v="76"/>
    </i>
    <i r="2">
      <x v="123"/>
      <x v="76"/>
    </i>
    <i r="2">
      <x v="127"/>
      <x v="76"/>
    </i>
    <i r="2">
      <x v="163"/>
      <x v="76"/>
    </i>
    <i t="default" r="1">
      <x v="6"/>
    </i>
    <i r="1">
      <x v="8"/>
      <x v="114"/>
      <x v="60"/>
    </i>
    <i r="3">
      <x v="66"/>
    </i>
    <i r="3">
      <x v="73"/>
    </i>
    <i r="3">
      <x v="74"/>
    </i>
    <i r="2">
      <x v="115"/>
      <x v="60"/>
    </i>
    <i r="3">
      <x v="66"/>
    </i>
    <i r="3">
      <x v="77"/>
    </i>
    <i r="2">
      <x v="117"/>
      <x v="73"/>
    </i>
    <i r="3">
      <x v="74"/>
    </i>
    <i r="2">
      <x v="118"/>
      <x v="66"/>
    </i>
    <i r="3">
      <x v="78"/>
    </i>
    <i r="3">
      <x v="81"/>
    </i>
    <i r="2">
      <x v="119"/>
      <x v="60"/>
    </i>
    <i r="3">
      <x v="73"/>
    </i>
    <i r="3">
      <x v="74"/>
    </i>
    <i r="3">
      <x v="78"/>
    </i>
    <i r="3">
      <x v="79"/>
    </i>
    <i r="2">
      <x v="120"/>
      <x v="74"/>
    </i>
    <i t="default" r="1">
      <x v="8"/>
    </i>
    <i r="1">
      <x v="9"/>
      <x v="45"/>
      <x v="80"/>
    </i>
    <i r="2">
      <x v="158"/>
      <x v="80"/>
    </i>
    <i r="2">
      <x v="161"/>
      <x v="80"/>
    </i>
    <i t="default" r="1">
      <x v="9"/>
    </i>
    <i r="1">
      <x v="11"/>
      <x v="45"/>
      <x v="91"/>
    </i>
    <i r="3">
      <x v="105"/>
    </i>
    <i r="3">
      <x v="127"/>
    </i>
    <i r="2">
      <x v="124"/>
      <x v="91"/>
    </i>
    <i r="2">
      <x v="131"/>
      <x v="91"/>
    </i>
    <i r="2">
      <x v="162"/>
      <x v="105"/>
    </i>
    <i t="default" r="1">
      <x v="11"/>
    </i>
    <i r="1">
      <x v="14"/>
      <x v="45"/>
      <x v="25"/>
    </i>
    <i r="3">
      <x v="82"/>
    </i>
    <i r="3">
      <x v="84"/>
    </i>
    <i r="3">
      <x v="85"/>
    </i>
    <i r="3">
      <x v="86"/>
    </i>
    <i r="3">
      <x v="88"/>
    </i>
    <i r="3">
      <x v="89"/>
    </i>
    <i r="3">
      <x v="90"/>
    </i>
    <i r="3">
      <x v="92"/>
    </i>
    <i r="3">
      <x v="93"/>
    </i>
    <i r="3">
      <x v="95"/>
    </i>
    <i r="3">
      <x v="96"/>
    </i>
    <i r="3">
      <x v="100"/>
    </i>
    <i r="3">
      <x v="103"/>
    </i>
    <i r="3">
      <x v="107"/>
    </i>
    <i r="3">
      <x v="111"/>
    </i>
    <i r="3">
      <x v="112"/>
    </i>
    <i r="3">
      <x v="113"/>
    </i>
    <i r="3">
      <x v="115"/>
    </i>
    <i r="3">
      <x v="116"/>
    </i>
    <i r="3">
      <x v="117"/>
    </i>
    <i r="3">
      <x v="118"/>
    </i>
    <i r="3">
      <x v="119"/>
    </i>
    <i r="3">
      <x v="121"/>
    </i>
    <i r="3">
      <x v="122"/>
    </i>
    <i r="3">
      <x v="123"/>
    </i>
    <i r="3">
      <x v="125"/>
    </i>
    <i r="3">
      <x v="126"/>
    </i>
    <i r="3">
      <x v="128"/>
    </i>
    <i r="3">
      <x v="129"/>
    </i>
    <i r="3">
      <x v="130"/>
    </i>
    <i r="3">
      <x v="131"/>
    </i>
    <i r="3">
      <x v="139"/>
    </i>
    <i r="2">
      <x v="121"/>
      <x v="82"/>
    </i>
    <i r="2">
      <x v="122"/>
      <x v="82"/>
    </i>
    <i r="3">
      <x v="83"/>
    </i>
    <i r="3">
      <x v="84"/>
    </i>
    <i r="3">
      <x v="85"/>
    </i>
    <i r="2">
      <x v="125"/>
      <x v="86"/>
    </i>
    <i r="3">
      <x v="87"/>
    </i>
    <i r="2">
      <x v="128"/>
      <x v="94"/>
    </i>
    <i r="2">
      <x v="129"/>
      <x v="95"/>
    </i>
    <i r="2">
      <x v="130"/>
      <x v="86"/>
    </i>
    <i r="3">
      <x v="88"/>
    </i>
    <i r="3">
      <x v="95"/>
    </i>
    <i r="2">
      <x v="132"/>
      <x v="96"/>
    </i>
    <i r="3">
      <x v="97"/>
    </i>
    <i r="2">
      <x v="143"/>
      <x v="87"/>
    </i>
    <i r="2">
      <x v="144"/>
      <x v="82"/>
    </i>
    <i r="3">
      <x v="101"/>
    </i>
    <i r="3">
      <x v="102"/>
    </i>
    <i r="3">
      <x v="103"/>
    </i>
    <i r="2">
      <x v="145"/>
      <x v="92"/>
    </i>
    <i r="3">
      <x v="104"/>
    </i>
    <i r="3">
      <x v="106"/>
    </i>
    <i r="2">
      <x v="146"/>
      <x v="96"/>
    </i>
    <i r="2">
      <x v="148"/>
      <x v="92"/>
    </i>
    <i r="3">
      <x v="107"/>
    </i>
    <i r="2">
      <x v="149"/>
      <x v="86"/>
    </i>
    <i r="2">
      <x v="150"/>
      <x v="112"/>
    </i>
    <i r="2">
      <x v="155"/>
      <x v="86"/>
    </i>
    <i r="3">
      <x v="119"/>
    </i>
    <i r="2">
      <x v="156"/>
      <x v="96"/>
    </i>
    <i r="2">
      <x v="157"/>
      <x v="111"/>
    </i>
    <i r="2">
      <x v="159"/>
      <x v="86"/>
    </i>
    <i r="2">
      <x v="164"/>
      <x v="123"/>
    </i>
    <i r="2">
      <x v="165"/>
      <x v="107"/>
    </i>
    <i r="3">
      <x v="130"/>
    </i>
    <i r="3">
      <x v="137"/>
    </i>
    <i r="2">
      <x v="166"/>
      <x v="95"/>
    </i>
    <i r="3">
      <x v="130"/>
    </i>
    <i r="2">
      <x v="167"/>
      <x v="128"/>
    </i>
    <i r="3">
      <x v="132"/>
    </i>
    <i r="2">
      <x v="168"/>
      <x v="82"/>
    </i>
    <i r="2">
      <x v="169"/>
      <x v="95"/>
    </i>
    <i r="3">
      <x v="133"/>
    </i>
    <i r="2">
      <x v="170"/>
      <x v="90"/>
    </i>
    <i r="3">
      <x v="104"/>
    </i>
    <i r="2">
      <x v="171"/>
      <x v="130"/>
    </i>
    <i r="3">
      <x v="134"/>
    </i>
    <i r="3">
      <x v="135"/>
    </i>
    <i r="2">
      <x v="172"/>
      <x v="90"/>
    </i>
    <i r="3">
      <x v="103"/>
    </i>
    <i r="3">
      <x v="116"/>
    </i>
    <i r="3">
      <x v="117"/>
    </i>
    <i r="3">
      <x v="136"/>
    </i>
    <i r="2">
      <x v="173"/>
      <x v="92"/>
    </i>
    <i r="3">
      <x v="119"/>
    </i>
    <i r="3">
      <x v="123"/>
    </i>
    <i r="3">
      <x v="136"/>
    </i>
    <i r="3">
      <x v="138"/>
    </i>
    <i r="2">
      <x v="175"/>
      <x v="140"/>
    </i>
    <i r="2">
      <x v="177"/>
      <x v="139"/>
    </i>
    <i t="default" r="1">
      <x v="14"/>
    </i>
    <i r="1">
      <x v="15"/>
      <x v="45"/>
      <x v="141"/>
    </i>
    <i t="default" r="1">
      <x v="15"/>
    </i>
    <i t="default"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5" baseItem="17" numFmtId="4"/>
    <dataField name="Sum of Unit Price" fld="10" baseField="5" baseItem="17" numFmtId="4"/>
    <dataField name="Sum of Amount (RM)" fld="11" baseField="5" baseItem="17" numFmtId="4"/>
  </dataFields>
  <formats count="9">
    <format dxfId="9">
      <pivotArea dataOnly="0" outline="0" fieldPosition="0">
        <references count="1">
          <reference field="3" count="0" defaultSubtotal="1"/>
        </references>
      </pivotArea>
    </format>
    <format dxfId="8">
      <pivotArea dataOnly="0" outline="0" fieldPosition="0">
        <references count="1">
          <reference field="3" count="0" defaultSubtotal="1"/>
        </references>
      </pivotArea>
    </format>
    <format dxfId="7">
      <pivotArea dataOnly="0" grandRow="1" outline="0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outline="0" fieldPosition="0">
        <references count="1">
          <reference field="4294967294" count="1">
            <x v="0"/>
          </reference>
        </references>
      </pivotArea>
    </format>
    <format dxfId="3">
      <pivotArea dataOnly="0" outline="0" fieldPosition="0">
        <references count="1">
          <reference field="4" count="0" defaultSubtotal="1"/>
        </references>
      </pivotArea>
    </format>
    <format dxfId="2">
      <pivotArea dataOnly="0" outline="0" fieldPosition="0">
        <references count="1">
          <reference field="2" count="0" defaultSubtotal="1"/>
        </references>
      </pivotArea>
    </format>
    <format dxfId="1">
      <pivotArea dataOnly="0" outline="0" fieldPosition="0">
        <references count="1">
          <reference field="2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00E2A3-D8DC-4734-B468-3625D3E60CD7}" name="PivotTable2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L3:O147" firstHeaderRow="1" firstDataRow="2" firstDataCol="1"/>
  <pivotFields count="18">
    <pivotField compact="0" numFmtId="14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1">
    <field x="6"/>
  </rowFields>
  <rowItems count="14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13C1A9-5EE9-4C0D-925C-B44D29625E7B}" name="PivotTable1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6" indent="0" compact="0" compactData="0" gridDropZones="1" multipleFieldFilters="0">
  <location ref="A3:E339" firstHeaderRow="1" firstDataRow="2" firstDataCol="2"/>
  <pivotFields count="18">
    <pivotField compact="0" numFmtId="14" outline="0" showAll="0"/>
    <pivotField axis="axisRow" compact="0" outline="0" showAll="0">
      <items count="13">
        <item x="9"/>
        <item x="1"/>
        <item x="2"/>
        <item x="3"/>
        <item x="4"/>
        <item x="5"/>
        <item x="6"/>
        <item x="0"/>
        <item x="7"/>
        <item x="8"/>
        <item x="10"/>
        <item x="11"/>
        <item t="default"/>
      </items>
    </pivotField>
    <pivotField compact="0" outline="0" showAll="0"/>
    <pivotField compact="0" outline="0" showAll="0"/>
    <pivotField compact="0" outline="0" showAll="0"/>
    <pivotField compact="0" outline="0" showAll="0"/>
    <pivotField axis="axisRow" compact="0" outline="0" showAll="0" defaultSubtotal="0">
      <items count="142">
        <item x="21"/>
        <item x="16"/>
        <item x="7"/>
        <item x="3"/>
        <item x="14"/>
        <item x="2"/>
        <item x="6"/>
        <item x="4"/>
        <item x="15"/>
        <item x="5"/>
        <item x="11"/>
        <item x="9"/>
        <item x="22"/>
        <item x="20"/>
        <item x="17"/>
        <item x="1"/>
        <item x="0"/>
        <item x="10"/>
        <item x="8"/>
        <item x="13"/>
        <item x="12"/>
        <item x="23"/>
        <item x="24"/>
        <item x="25"/>
        <item x="26"/>
        <item x="27"/>
        <item x="28"/>
        <item x="29"/>
        <item x="30"/>
        <item x="31"/>
        <item x="32"/>
        <item x="34"/>
        <item x="35"/>
        <item x="19"/>
        <item x="18"/>
        <item x="37"/>
        <item x="38"/>
        <item x="39"/>
        <item x="40"/>
        <item x="41"/>
        <item x="43"/>
        <item x="44"/>
        <item x="45"/>
        <item x="46"/>
        <item x="49"/>
        <item x="50"/>
        <item x="47"/>
        <item x="51"/>
        <item x="52"/>
        <item x="36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70"/>
        <item x="71"/>
        <item x="72"/>
        <item x="73"/>
        <item x="69"/>
        <item x="74"/>
        <item x="75"/>
        <item x="76"/>
        <item x="77"/>
        <item x="33"/>
        <item x="42"/>
        <item x="78"/>
        <item x="79"/>
        <item x="81"/>
        <item x="48"/>
        <item x="80"/>
        <item x="82"/>
        <item x="83"/>
        <item x="84"/>
        <item x="85"/>
        <item x="86"/>
        <item x="87"/>
        <item x="89"/>
        <item x="90"/>
        <item x="91"/>
        <item x="88"/>
        <item x="92"/>
        <item x="93"/>
        <item x="94"/>
        <item x="95"/>
        <item x="96"/>
        <item x="97"/>
        <item x="99"/>
        <item x="100"/>
        <item x="102"/>
        <item x="103"/>
        <item x="104"/>
        <item x="105"/>
        <item x="106"/>
        <item x="107"/>
        <item x="109"/>
        <item x="110"/>
        <item x="101"/>
        <item x="108"/>
        <item x="112"/>
        <item x="113"/>
        <item x="111"/>
        <item x="114"/>
        <item x="115"/>
        <item x="116"/>
        <item x="117"/>
        <item x="118"/>
        <item x="120"/>
        <item x="98"/>
        <item x="119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3"/>
        <item x="134"/>
        <item x="135"/>
        <item x="136"/>
        <item x="137"/>
        <item x="132"/>
        <item x="138"/>
        <item x="140"/>
        <item x="141"/>
        <item x="139"/>
      </items>
    </pivotField>
    <pivotField compact="0" outline="0" showAll="0"/>
    <pivotField dataField="1" compact="0" outline="0" showAll="0" defaultSubtotal="0"/>
    <pivotField compact="0" outline="0" showAll="0"/>
    <pivotField compact="0" numFmtId="43" outline="0" showAll="0"/>
    <pivotField compact="0" numFmtId="43" outline="0" showAll="0"/>
    <pivotField compact="0" numFmtId="43" outline="0" showAll="0"/>
    <pivotField compact="0" outline="0" showAll="0"/>
    <pivotField dataField="1" compact="0" outline="0" showAll="0" defaultSubtotal="0"/>
    <pivotField dataField="1" compact="0" outline="0" showAll="0"/>
    <pivotField compact="0" outline="0" showAll="0"/>
    <pivotField compact="0" outline="0" showAll="0"/>
  </pivotFields>
  <rowFields count="2">
    <field x="1"/>
    <field x="6"/>
  </rowFields>
  <rowItems count="335">
    <i>
      <x/>
      <x v="2"/>
    </i>
    <i r="1">
      <x v="4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7"/>
    </i>
    <i r="1">
      <x v="38"/>
    </i>
    <i r="1">
      <x v="39"/>
    </i>
    <i r="1">
      <x v="40"/>
    </i>
    <i r="1">
      <x v="49"/>
    </i>
    <i r="1">
      <x v="76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t="default">
      <x/>
    </i>
    <i>
      <x v="1"/>
      <x v="2"/>
    </i>
    <i r="1">
      <x v="6"/>
    </i>
    <i r="1">
      <x v="9"/>
    </i>
    <i r="1">
      <x v="15"/>
    </i>
    <i r="1">
      <x v="17"/>
    </i>
    <i r="1">
      <x v="18"/>
    </i>
    <i r="1">
      <x v="80"/>
    </i>
    <i r="1">
      <x v="86"/>
    </i>
    <i r="1">
      <x v="96"/>
    </i>
    <i r="1">
      <x v="99"/>
    </i>
    <i r="1">
      <x v="108"/>
    </i>
    <i r="1">
      <x v="111"/>
    </i>
    <i r="1">
      <x v="119"/>
    </i>
    <i t="default">
      <x v="1"/>
    </i>
    <i>
      <x v="2"/>
      <x v="2"/>
    </i>
    <i r="1">
      <x v="5"/>
    </i>
    <i r="1">
      <x v="7"/>
    </i>
    <i r="1">
      <x v="10"/>
    </i>
    <i r="1">
      <x v="11"/>
    </i>
    <i r="1">
      <x v="15"/>
    </i>
    <i r="1">
      <x v="16"/>
    </i>
    <i r="1">
      <x v="17"/>
    </i>
    <i r="1">
      <x v="19"/>
    </i>
    <i r="1">
      <x v="20"/>
    </i>
    <i r="1">
      <x v="71"/>
    </i>
    <i r="1">
      <x v="92"/>
    </i>
    <i r="1">
      <x v="96"/>
    </i>
    <i r="1">
      <x v="103"/>
    </i>
    <i r="1">
      <x v="105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t="default">
      <x v="2"/>
    </i>
    <i>
      <x v="3"/>
      <x v="1"/>
    </i>
    <i r="1">
      <x v="4"/>
    </i>
    <i r="1">
      <x v="8"/>
    </i>
    <i r="1">
      <x v="9"/>
    </i>
    <i r="1">
      <x v="11"/>
    </i>
    <i r="1">
      <x v="14"/>
    </i>
    <i r="1">
      <x v="19"/>
    </i>
    <i r="1">
      <x v="76"/>
    </i>
    <i r="1">
      <x v="80"/>
    </i>
    <i r="1">
      <x v="90"/>
    </i>
    <i r="1">
      <x v="103"/>
    </i>
    <i r="1">
      <x v="111"/>
    </i>
    <i r="1">
      <x v="112"/>
    </i>
    <i r="1">
      <x v="117"/>
    </i>
    <i r="1">
      <x v="118"/>
    </i>
    <i r="1">
      <x v="119"/>
    </i>
    <i r="1">
      <x v="121"/>
    </i>
    <i r="1">
      <x v="122"/>
    </i>
    <i r="1">
      <x v="123"/>
    </i>
    <i r="1">
      <x v="124"/>
    </i>
    <i t="default">
      <x v="3"/>
    </i>
    <i>
      <x v="4"/>
      <x v="2"/>
    </i>
    <i r="1">
      <x v="4"/>
    </i>
    <i r="1">
      <x v="6"/>
    </i>
    <i r="1">
      <x v="7"/>
    </i>
    <i r="1">
      <x v="10"/>
    </i>
    <i r="1">
      <x v="11"/>
    </i>
    <i r="1">
      <x v="14"/>
    </i>
    <i r="1">
      <x v="17"/>
    </i>
    <i r="1">
      <x v="19"/>
    </i>
    <i r="1">
      <x v="20"/>
    </i>
    <i r="1">
      <x v="30"/>
    </i>
    <i r="1">
      <x v="33"/>
    </i>
    <i r="1">
      <x v="34"/>
    </i>
    <i r="1">
      <x v="47"/>
    </i>
    <i r="1">
      <x v="49"/>
    </i>
    <i r="1">
      <x v="91"/>
    </i>
    <i r="1">
      <x v="103"/>
    </i>
    <i r="1">
      <x v="105"/>
    </i>
    <i r="1">
      <x v="108"/>
    </i>
    <i r="1">
      <x v="110"/>
    </i>
    <i r="1">
      <x v="115"/>
    </i>
    <i r="1">
      <x v="117"/>
    </i>
    <i r="1">
      <x v="124"/>
    </i>
    <i r="1">
      <x v="125"/>
    </i>
    <i r="1">
      <x v="126"/>
    </i>
    <i r="1">
      <x v="127"/>
    </i>
    <i t="default">
      <x v="4"/>
    </i>
    <i>
      <x v="5"/>
      <x/>
    </i>
    <i r="1">
      <x v="2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7"/>
    </i>
    <i r="1">
      <x v="33"/>
    </i>
    <i r="1">
      <x v="46"/>
    </i>
    <i r="1">
      <x v="47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76"/>
    </i>
    <i r="1">
      <x v="80"/>
    </i>
    <i r="1">
      <x v="82"/>
    </i>
    <i r="1">
      <x v="92"/>
    </i>
    <i r="1">
      <x v="95"/>
    </i>
    <i r="1">
      <x v="103"/>
    </i>
    <i r="1">
      <x v="107"/>
    </i>
    <i r="1">
      <x v="108"/>
    </i>
    <i r="1">
      <x v="112"/>
    </i>
    <i r="1">
      <x v="117"/>
    </i>
    <i r="1">
      <x v="123"/>
    </i>
    <i r="1">
      <x v="124"/>
    </i>
    <i r="1">
      <x v="125"/>
    </i>
    <i r="1">
      <x v="128"/>
    </i>
    <i r="1">
      <x v="129"/>
    </i>
    <i r="1">
      <x v="130"/>
    </i>
    <i r="1">
      <x v="131"/>
    </i>
    <i r="1">
      <x v="132"/>
    </i>
    <i r="1">
      <x v="137"/>
    </i>
    <i t="default">
      <x v="5"/>
    </i>
    <i>
      <x v="6"/>
      <x v="1"/>
    </i>
    <i r="1">
      <x v="2"/>
    </i>
    <i r="1">
      <x v="7"/>
    </i>
    <i r="1">
      <x v="11"/>
    </i>
    <i r="1">
      <x v="17"/>
    </i>
    <i r="1">
      <x v="19"/>
    </i>
    <i r="1">
      <x v="21"/>
    </i>
    <i r="1">
      <x v="22"/>
    </i>
    <i r="1">
      <x v="30"/>
    </i>
    <i r="1">
      <x v="47"/>
    </i>
    <i r="1">
      <x v="49"/>
    </i>
    <i r="1">
      <x v="52"/>
    </i>
    <i r="1">
      <x v="53"/>
    </i>
    <i r="1">
      <x v="59"/>
    </i>
    <i r="1">
      <x v="60"/>
    </i>
    <i r="1">
      <x v="61"/>
    </i>
    <i r="1">
      <x v="62"/>
    </i>
    <i r="1">
      <x v="82"/>
    </i>
    <i r="1">
      <x v="90"/>
    </i>
    <i r="1">
      <x v="91"/>
    </i>
    <i r="1">
      <x v="92"/>
    </i>
    <i r="1">
      <x v="95"/>
    </i>
    <i r="1">
      <x v="103"/>
    </i>
    <i r="1">
      <x v="104"/>
    </i>
    <i r="1">
      <x v="112"/>
    </i>
    <i r="1">
      <x v="116"/>
    </i>
    <i r="1">
      <x v="117"/>
    </i>
    <i r="1">
      <x v="119"/>
    </i>
    <i r="1">
      <x v="123"/>
    </i>
    <i r="1">
      <x v="124"/>
    </i>
    <i r="1">
      <x v="125"/>
    </i>
    <i r="1">
      <x v="130"/>
    </i>
    <i r="1">
      <x v="133"/>
    </i>
    <i r="1">
      <x v="134"/>
    </i>
    <i r="1">
      <x v="135"/>
    </i>
    <i r="1">
      <x v="136"/>
    </i>
    <i r="1">
      <x v="138"/>
    </i>
    <i r="1">
      <x v="139"/>
    </i>
    <i r="1">
      <x v="140"/>
    </i>
    <i r="1">
      <x v="141"/>
    </i>
    <i t="default">
      <x v="6"/>
    </i>
    <i>
      <x v="7"/>
      <x v="2"/>
    </i>
    <i r="1">
      <x v="3"/>
    </i>
    <i r="1">
      <x v="5"/>
    </i>
    <i r="1">
      <x v="7"/>
    </i>
    <i r="1">
      <x v="9"/>
    </i>
    <i r="1">
      <x v="14"/>
    </i>
    <i r="1">
      <x v="15"/>
    </i>
    <i r="1">
      <x v="16"/>
    </i>
    <i r="1">
      <x v="17"/>
    </i>
    <i r="1">
      <x v="23"/>
    </i>
    <i r="1">
      <x v="26"/>
    </i>
    <i r="1">
      <x v="30"/>
    </i>
    <i r="1">
      <x v="34"/>
    </i>
    <i r="1">
      <x v="41"/>
    </i>
    <i r="1">
      <x v="42"/>
    </i>
    <i r="1">
      <x v="43"/>
    </i>
    <i r="1">
      <x v="44"/>
    </i>
    <i r="1">
      <x v="49"/>
    </i>
    <i r="1">
      <x v="52"/>
    </i>
    <i r="1">
      <x v="60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t="default">
      <x v="7"/>
    </i>
    <i>
      <x v="8"/>
      <x v="11"/>
    </i>
    <i r="1">
      <x v="17"/>
    </i>
    <i r="1">
      <x v="21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49"/>
    </i>
    <i r="1">
      <x v="60"/>
    </i>
    <i r="1">
      <x v="66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1"/>
    </i>
    <i t="default">
      <x v="8"/>
    </i>
    <i>
      <x v="9"/>
      <x v="2"/>
    </i>
    <i r="1">
      <x v="7"/>
    </i>
    <i r="1">
      <x v="11"/>
    </i>
    <i r="1">
      <x v="14"/>
    </i>
    <i r="1">
      <x v="17"/>
    </i>
    <i r="1">
      <x v="21"/>
    </i>
    <i r="1">
      <x v="26"/>
    </i>
    <i r="1">
      <x v="30"/>
    </i>
    <i r="1">
      <x v="33"/>
    </i>
    <i r="1">
      <x v="35"/>
    </i>
    <i r="1">
      <x v="36"/>
    </i>
    <i r="1">
      <x v="49"/>
    </i>
    <i r="1">
      <x v="74"/>
    </i>
    <i r="1">
      <x v="75"/>
    </i>
    <i r="1">
      <x v="82"/>
    </i>
    <i t="default">
      <x v="9"/>
    </i>
    <i>
      <x v="10"/>
      <x v="2"/>
    </i>
    <i r="1">
      <x v="7"/>
    </i>
    <i r="1">
      <x v="9"/>
    </i>
    <i r="1">
      <x v="11"/>
    </i>
    <i r="1">
      <x v="14"/>
    </i>
    <i r="1">
      <x v="17"/>
    </i>
    <i r="1">
      <x v="30"/>
    </i>
    <i r="1">
      <x v="41"/>
    </i>
    <i r="1">
      <x v="42"/>
    </i>
    <i r="1">
      <x v="43"/>
    </i>
    <i r="1">
      <x v="46"/>
    </i>
    <i r="1">
      <x v="76"/>
    </i>
    <i r="1">
      <x v="80"/>
    </i>
    <i r="1">
      <x v="82"/>
    </i>
    <i r="1">
      <x v="86"/>
    </i>
    <i r="1">
      <x v="88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8"/>
    </i>
    <i r="1">
      <x v="119"/>
    </i>
    <i t="default">
      <x v="10"/>
    </i>
    <i>
      <x v="11"/>
      <x v="2"/>
    </i>
    <i r="1">
      <x v="10"/>
    </i>
    <i r="1">
      <x v="11"/>
    </i>
    <i r="1">
      <x v="14"/>
    </i>
    <i r="1">
      <x v="30"/>
    </i>
    <i r="1">
      <x v="33"/>
    </i>
    <i r="1">
      <x v="41"/>
    </i>
    <i r="1">
      <x v="44"/>
    </i>
    <i r="1">
      <x v="45"/>
    </i>
    <i r="1">
      <x v="47"/>
    </i>
    <i r="1">
      <x v="48"/>
    </i>
    <i r="1">
      <x v="82"/>
    </i>
    <i r="1">
      <x v="86"/>
    </i>
    <i r="1">
      <x v="87"/>
    </i>
    <i r="1">
      <x v="91"/>
    </i>
    <i r="1">
      <x v="92"/>
    </i>
    <i r="1">
      <x v="96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9"/>
    </i>
    <i r="1">
      <x v="110"/>
    </i>
    <i r="1">
      <x v="112"/>
    </i>
    <i t="default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tock (In)" fld="8" baseField="0" baseItem="0"/>
    <dataField name="Sum of Stock (out)" fld="14" baseField="0" baseItem="0"/>
    <dataField name="Sum of Stock Balance" fld="15" baseField="0" baseItem="0"/>
  </dataFields>
  <formats count="1">
    <format dxfId="0">
      <pivotArea dataOnly="0" outline="0" fieldPosition="0">
        <references count="1">
          <reference field="1" count="0" defaultSubtotal="1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.emf"/><Relationship Id="rId21" Type="http://schemas.openxmlformats.org/officeDocument/2006/relationships/image" Target="../media/image9.emf"/><Relationship Id="rId63" Type="http://schemas.openxmlformats.org/officeDocument/2006/relationships/image" Target="../media/image30.emf"/><Relationship Id="rId159" Type="http://schemas.openxmlformats.org/officeDocument/2006/relationships/image" Target="../media/image78.emf"/><Relationship Id="rId170" Type="http://schemas.openxmlformats.org/officeDocument/2006/relationships/image" Target="../media/image83.emf"/><Relationship Id="rId226" Type="http://schemas.openxmlformats.org/officeDocument/2006/relationships/oleObject" Target="../embeddings/oleObject113.bin"/><Relationship Id="rId107" Type="http://schemas.openxmlformats.org/officeDocument/2006/relationships/image" Target="../media/image52.emf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53" Type="http://schemas.openxmlformats.org/officeDocument/2006/relationships/image" Target="../media/image25.emf"/><Relationship Id="rId74" Type="http://schemas.openxmlformats.org/officeDocument/2006/relationships/oleObject" Target="../embeddings/oleObject36.bin"/><Relationship Id="rId128" Type="http://schemas.openxmlformats.org/officeDocument/2006/relationships/oleObject" Target="../embeddings/oleObject63.bin"/><Relationship Id="rId149" Type="http://schemas.openxmlformats.org/officeDocument/2006/relationships/image" Target="../media/image73.emf"/><Relationship Id="rId5" Type="http://schemas.openxmlformats.org/officeDocument/2006/relationships/image" Target="../media/image1.emf"/><Relationship Id="rId95" Type="http://schemas.openxmlformats.org/officeDocument/2006/relationships/image" Target="../media/image46.emf"/><Relationship Id="rId160" Type="http://schemas.openxmlformats.org/officeDocument/2006/relationships/oleObject" Target="../embeddings/oleObject79.bin"/><Relationship Id="rId181" Type="http://schemas.openxmlformats.org/officeDocument/2006/relationships/oleObject" Target="../embeddings/oleObject90.bin"/><Relationship Id="rId216" Type="http://schemas.openxmlformats.org/officeDocument/2006/relationships/image" Target="../media/image106.emf"/><Relationship Id="rId237" Type="http://schemas.openxmlformats.org/officeDocument/2006/relationships/image" Target="../media/image116.emf"/><Relationship Id="rId258" Type="http://schemas.openxmlformats.org/officeDocument/2006/relationships/oleObject" Target="../embeddings/oleObject129.bin"/><Relationship Id="rId22" Type="http://schemas.openxmlformats.org/officeDocument/2006/relationships/oleObject" Target="../embeddings/oleObject10.bin"/><Relationship Id="rId43" Type="http://schemas.openxmlformats.org/officeDocument/2006/relationships/image" Target="../media/image20.emf"/><Relationship Id="rId64" Type="http://schemas.openxmlformats.org/officeDocument/2006/relationships/oleObject" Target="../embeddings/oleObject31.bin"/><Relationship Id="rId118" Type="http://schemas.openxmlformats.org/officeDocument/2006/relationships/oleObject" Target="../embeddings/oleObject58.bin"/><Relationship Id="rId139" Type="http://schemas.openxmlformats.org/officeDocument/2006/relationships/image" Target="../media/image68.emf"/><Relationship Id="rId85" Type="http://schemas.openxmlformats.org/officeDocument/2006/relationships/image" Target="../media/image41.emf"/><Relationship Id="rId150" Type="http://schemas.openxmlformats.org/officeDocument/2006/relationships/oleObject" Target="../embeddings/oleObject74.bin"/><Relationship Id="rId171" Type="http://schemas.openxmlformats.org/officeDocument/2006/relationships/oleObject" Target="../embeddings/oleObject85.bin"/><Relationship Id="rId192" Type="http://schemas.openxmlformats.org/officeDocument/2006/relationships/image" Target="../media/image94.emf"/><Relationship Id="rId206" Type="http://schemas.openxmlformats.org/officeDocument/2006/relationships/image" Target="../media/image101.emf"/><Relationship Id="rId227" Type="http://schemas.openxmlformats.org/officeDocument/2006/relationships/image" Target="../media/image111.emf"/><Relationship Id="rId248" Type="http://schemas.openxmlformats.org/officeDocument/2006/relationships/oleObject" Target="../embeddings/oleObject124.bin"/><Relationship Id="rId12" Type="http://schemas.openxmlformats.org/officeDocument/2006/relationships/oleObject" Target="../embeddings/oleObject5.bin"/><Relationship Id="rId33" Type="http://schemas.openxmlformats.org/officeDocument/2006/relationships/image" Target="../media/image15.emf"/><Relationship Id="rId108" Type="http://schemas.openxmlformats.org/officeDocument/2006/relationships/oleObject" Target="../embeddings/oleObject53.bin"/><Relationship Id="rId129" Type="http://schemas.openxmlformats.org/officeDocument/2006/relationships/image" Target="../media/image63.emf"/><Relationship Id="rId54" Type="http://schemas.openxmlformats.org/officeDocument/2006/relationships/oleObject" Target="../embeddings/oleObject26.bin"/><Relationship Id="rId75" Type="http://schemas.openxmlformats.org/officeDocument/2006/relationships/image" Target="../media/image36.emf"/><Relationship Id="rId96" Type="http://schemas.openxmlformats.org/officeDocument/2006/relationships/oleObject" Target="../embeddings/oleObject47.bin"/><Relationship Id="rId140" Type="http://schemas.openxmlformats.org/officeDocument/2006/relationships/oleObject" Target="../embeddings/oleObject69.bin"/><Relationship Id="rId161" Type="http://schemas.openxmlformats.org/officeDocument/2006/relationships/image" Target="../media/image79.emf"/><Relationship Id="rId182" Type="http://schemas.openxmlformats.org/officeDocument/2006/relationships/image" Target="../media/image89.emf"/><Relationship Id="rId217" Type="http://schemas.openxmlformats.org/officeDocument/2006/relationships/oleObject" Target="../embeddings/oleObject108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119.bin"/><Relationship Id="rId259" Type="http://schemas.openxmlformats.org/officeDocument/2006/relationships/image" Target="../media/image127.emf"/><Relationship Id="rId23" Type="http://schemas.openxmlformats.org/officeDocument/2006/relationships/image" Target="../media/image10.emf"/><Relationship Id="rId119" Type="http://schemas.openxmlformats.org/officeDocument/2006/relationships/image" Target="../media/image58.emf"/><Relationship Id="rId44" Type="http://schemas.openxmlformats.org/officeDocument/2006/relationships/oleObject" Target="../embeddings/oleObject21.bin"/><Relationship Id="rId65" Type="http://schemas.openxmlformats.org/officeDocument/2006/relationships/image" Target="../media/image31.emf"/><Relationship Id="rId86" Type="http://schemas.openxmlformats.org/officeDocument/2006/relationships/oleObject" Target="../embeddings/oleObject42.bin"/><Relationship Id="rId130" Type="http://schemas.openxmlformats.org/officeDocument/2006/relationships/oleObject" Target="../embeddings/oleObject64.bin"/><Relationship Id="rId151" Type="http://schemas.openxmlformats.org/officeDocument/2006/relationships/image" Target="../media/image74.emf"/><Relationship Id="rId172" Type="http://schemas.openxmlformats.org/officeDocument/2006/relationships/image" Target="../media/image84.emf"/><Relationship Id="rId193" Type="http://schemas.openxmlformats.org/officeDocument/2006/relationships/oleObject" Target="../embeddings/oleObject96.bin"/><Relationship Id="rId207" Type="http://schemas.openxmlformats.org/officeDocument/2006/relationships/oleObject" Target="../embeddings/oleObject103.bin"/><Relationship Id="rId228" Type="http://schemas.openxmlformats.org/officeDocument/2006/relationships/oleObject" Target="../embeddings/oleObject114.bin"/><Relationship Id="rId249" Type="http://schemas.openxmlformats.org/officeDocument/2006/relationships/image" Target="../media/image122.emf"/><Relationship Id="rId13" Type="http://schemas.openxmlformats.org/officeDocument/2006/relationships/image" Target="../media/image5.emf"/><Relationship Id="rId109" Type="http://schemas.openxmlformats.org/officeDocument/2006/relationships/image" Target="../media/image53.emf"/><Relationship Id="rId260" Type="http://schemas.openxmlformats.org/officeDocument/2006/relationships/oleObject" Target="../embeddings/oleObject130.bin"/><Relationship Id="rId34" Type="http://schemas.openxmlformats.org/officeDocument/2006/relationships/oleObject" Target="../embeddings/oleObject16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97" Type="http://schemas.openxmlformats.org/officeDocument/2006/relationships/image" Target="../media/image47.emf"/><Relationship Id="rId120" Type="http://schemas.openxmlformats.org/officeDocument/2006/relationships/oleObject" Target="../embeddings/oleObject59.bin"/><Relationship Id="rId141" Type="http://schemas.openxmlformats.org/officeDocument/2006/relationships/image" Target="../media/image69.emf"/><Relationship Id="rId7" Type="http://schemas.openxmlformats.org/officeDocument/2006/relationships/image" Target="../media/image2.emf"/><Relationship Id="rId162" Type="http://schemas.openxmlformats.org/officeDocument/2006/relationships/oleObject" Target="../embeddings/oleObject80.bin"/><Relationship Id="rId183" Type="http://schemas.openxmlformats.org/officeDocument/2006/relationships/oleObject" Target="../embeddings/oleObject91.bin"/><Relationship Id="rId218" Type="http://schemas.openxmlformats.org/officeDocument/2006/relationships/image" Target="../media/image107.emf"/><Relationship Id="rId239" Type="http://schemas.openxmlformats.org/officeDocument/2006/relationships/image" Target="../media/image117.emf"/><Relationship Id="rId250" Type="http://schemas.openxmlformats.org/officeDocument/2006/relationships/oleObject" Target="../embeddings/oleObject125.bin"/><Relationship Id="rId24" Type="http://schemas.openxmlformats.org/officeDocument/2006/relationships/oleObject" Target="../embeddings/oleObject11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110" Type="http://schemas.openxmlformats.org/officeDocument/2006/relationships/oleObject" Target="../embeddings/oleObject54.bin"/><Relationship Id="rId131" Type="http://schemas.openxmlformats.org/officeDocument/2006/relationships/image" Target="../media/image64.emf"/><Relationship Id="rId152" Type="http://schemas.openxmlformats.org/officeDocument/2006/relationships/oleObject" Target="../embeddings/oleObject75.bin"/><Relationship Id="rId173" Type="http://schemas.openxmlformats.org/officeDocument/2006/relationships/oleObject" Target="../embeddings/oleObject86.bin"/><Relationship Id="rId194" Type="http://schemas.openxmlformats.org/officeDocument/2006/relationships/image" Target="../media/image95.emf"/><Relationship Id="rId208" Type="http://schemas.openxmlformats.org/officeDocument/2006/relationships/image" Target="../media/image102.emf"/><Relationship Id="rId229" Type="http://schemas.openxmlformats.org/officeDocument/2006/relationships/image" Target="../media/image112.emf"/><Relationship Id="rId240" Type="http://schemas.openxmlformats.org/officeDocument/2006/relationships/oleObject" Target="../embeddings/oleObject120.bin"/><Relationship Id="rId261" Type="http://schemas.openxmlformats.org/officeDocument/2006/relationships/image" Target="../media/image128.emf"/><Relationship Id="rId14" Type="http://schemas.openxmlformats.org/officeDocument/2006/relationships/oleObject" Target="../embeddings/oleObject6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Relationship Id="rId100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98" Type="http://schemas.openxmlformats.org/officeDocument/2006/relationships/oleObject" Target="../embeddings/oleObject48.bin"/><Relationship Id="rId121" Type="http://schemas.openxmlformats.org/officeDocument/2006/relationships/image" Target="../media/image59.emf"/><Relationship Id="rId142" Type="http://schemas.openxmlformats.org/officeDocument/2006/relationships/oleObject" Target="../embeddings/oleObject70.bin"/><Relationship Id="rId163" Type="http://schemas.openxmlformats.org/officeDocument/2006/relationships/image" Target="../media/image80.emf"/><Relationship Id="rId184" Type="http://schemas.openxmlformats.org/officeDocument/2006/relationships/image" Target="../media/image90.emf"/><Relationship Id="rId219" Type="http://schemas.openxmlformats.org/officeDocument/2006/relationships/oleObject" Target="../embeddings/oleObject109.bin"/><Relationship Id="rId230" Type="http://schemas.openxmlformats.org/officeDocument/2006/relationships/oleObject" Target="../embeddings/oleObject115.bin"/><Relationship Id="rId251" Type="http://schemas.openxmlformats.org/officeDocument/2006/relationships/image" Target="../media/image123.emf"/><Relationship Id="rId25" Type="http://schemas.openxmlformats.org/officeDocument/2006/relationships/image" Target="../media/image11.emf"/><Relationship Id="rId46" Type="http://schemas.openxmlformats.org/officeDocument/2006/relationships/oleObject" Target="../embeddings/oleObject22.bin"/><Relationship Id="rId67" Type="http://schemas.openxmlformats.org/officeDocument/2006/relationships/image" Target="../media/image32.emf"/><Relationship Id="rId88" Type="http://schemas.openxmlformats.org/officeDocument/2006/relationships/oleObject" Target="../embeddings/oleObject43.bin"/><Relationship Id="rId111" Type="http://schemas.openxmlformats.org/officeDocument/2006/relationships/image" Target="../media/image54.emf"/><Relationship Id="rId132" Type="http://schemas.openxmlformats.org/officeDocument/2006/relationships/oleObject" Target="../embeddings/oleObject65.bin"/><Relationship Id="rId153" Type="http://schemas.openxmlformats.org/officeDocument/2006/relationships/image" Target="../media/image75.emf"/><Relationship Id="rId174" Type="http://schemas.openxmlformats.org/officeDocument/2006/relationships/image" Target="../media/image85.emf"/><Relationship Id="rId195" Type="http://schemas.openxmlformats.org/officeDocument/2006/relationships/oleObject" Target="../embeddings/oleObject97.bin"/><Relationship Id="rId209" Type="http://schemas.openxmlformats.org/officeDocument/2006/relationships/oleObject" Target="../embeddings/oleObject104.bin"/><Relationship Id="rId220" Type="http://schemas.openxmlformats.org/officeDocument/2006/relationships/image" Target="../media/image108.emf"/><Relationship Id="rId241" Type="http://schemas.openxmlformats.org/officeDocument/2006/relationships/image" Target="../media/image118.emf"/><Relationship Id="rId15" Type="http://schemas.openxmlformats.org/officeDocument/2006/relationships/image" Target="../media/image6.emf"/><Relationship Id="rId36" Type="http://schemas.openxmlformats.org/officeDocument/2006/relationships/oleObject" Target="../embeddings/oleObject17.bin"/><Relationship Id="rId57" Type="http://schemas.openxmlformats.org/officeDocument/2006/relationships/image" Target="../media/image27.emf"/><Relationship Id="rId262" Type="http://schemas.openxmlformats.org/officeDocument/2006/relationships/oleObject" Target="../embeddings/oleObject131.bin"/><Relationship Id="rId78" Type="http://schemas.openxmlformats.org/officeDocument/2006/relationships/oleObject" Target="../embeddings/oleObject38.bin"/><Relationship Id="rId99" Type="http://schemas.openxmlformats.org/officeDocument/2006/relationships/image" Target="../media/image48.emf"/><Relationship Id="rId101" Type="http://schemas.openxmlformats.org/officeDocument/2006/relationships/image" Target="../media/image49.emf"/><Relationship Id="rId122" Type="http://schemas.openxmlformats.org/officeDocument/2006/relationships/oleObject" Target="../embeddings/oleObject60.bin"/><Relationship Id="rId143" Type="http://schemas.openxmlformats.org/officeDocument/2006/relationships/image" Target="../media/image70.emf"/><Relationship Id="rId164" Type="http://schemas.openxmlformats.org/officeDocument/2006/relationships/oleObject" Target="../embeddings/oleObject81.bin"/><Relationship Id="rId185" Type="http://schemas.openxmlformats.org/officeDocument/2006/relationships/oleObject" Target="../embeddings/oleObject92.bin"/><Relationship Id="rId9" Type="http://schemas.openxmlformats.org/officeDocument/2006/relationships/image" Target="../media/image3.emf"/><Relationship Id="rId210" Type="http://schemas.openxmlformats.org/officeDocument/2006/relationships/image" Target="../media/image103.emf"/><Relationship Id="rId26" Type="http://schemas.openxmlformats.org/officeDocument/2006/relationships/oleObject" Target="../embeddings/oleObject12.bin"/><Relationship Id="rId231" Type="http://schemas.openxmlformats.org/officeDocument/2006/relationships/image" Target="../media/image113.emf"/><Relationship Id="rId252" Type="http://schemas.openxmlformats.org/officeDocument/2006/relationships/oleObject" Target="../embeddings/oleObject126.bin"/><Relationship Id="rId47" Type="http://schemas.openxmlformats.org/officeDocument/2006/relationships/image" Target="../media/image22.emf"/><Relationship Id="rId68" Type="http://schemas.openxmlformats.org/officeDocument/2006/relationships/oleObject" Target="../embeddings/oleObject33.bin"/><Relationship Id="rId89" Type="http://schemas.openxmlformats.org/officeDocument/2006/relationships/image" Target="../media/image43.emf"/><Relationship Id="rId112" Type="http://schemas.openxmlformats.org/officeDocument/2006/relationships/oleObject" Target="../embeddings/oleObject55.bin"/><Relationship Id="rId133" Type="http://schemas.openxmlformats.org/officeDocument/2006/relationships/image" Target="../media/image65.emf"/><Relationship Id="rId154" Type="http://schemas.openxmlformats.org/officeDocument/2006/relationships/oleObject" Target="../embeddings/oleObject76.bin"/><Relationship Id="rId175" Type="http://schemas.openxmlformats.org/officeDocument/2006/relationships/oleObject" Target="../embeddings/oleObject87.bin"/><Relationship Id="rId196" Type="http://schemas.openxmlformats.org/officeDocument/2006/relationships/image" Target="../media/image96.emf"/><Relationship Id="rId200" Type="http://schemas.openxmlformats.org/officeDocument/2006/relationships/image" Target="../media/image98.emf"/><Relationship Id="rId16" Type="http://schemas.openxmlformats.org/officeDocument/2006/relationships/oleObject" Target="../embeddings/oleObject7.bin"/><Relationship Id="rId221" Type="http://schemas.openxmlformats.org/officeDocument/2006/relationships/oleObject" Target="../embeddings/oleObject110.bin"/><Relationship Id="rId242" Type="http://schemas.openxmlformats.org/officeDocument/2006/relationships/oleObject" Target="../embeddings/oleObject121.bin"/><Relationship Id="rId263" Type="http://schemas.openxmlformats.org/officeDocument/2006/relationships/image" Target="../media/image129.emf"/><Relationship Id="rId37" Type="http://schemas.openxmlformats.org/officeDocument/2006/relationships/image" Target="../media/image17.emf"/><Relationship Id="rId58" Type="http://schemas.openxmlformats.org/officeDocument/2006/relationships/oleObject" Target="../embeddings/oleObject28.bin"/><Relationship Id="rId79" Type="http://schemas.openxmlformats.org/officeDocument/2006/relationships/image" Target="../media/image38.emf"/><Relationship Id="rId102" Type="http://schemas.openxmlformats.org/officeDocument/2006/relationships/oleObject" Target="../embeddings/oleObject50.bin"/><Relationship Id="rId123" Type="http://schemas.openxmlformats.org/officeDocument/2006/relationships/image" Target="../media/image60.emf"/><Relationship Id="rId144" Type="http://schemas.openxmlformats.org/officeDocument/2006/relationships/oleObject" Target="../embeddings/oleObject71.bin"/><Relationship Id="rId90" Type="http://schemas.openxmlformats.org/officeDocument/2006/relationships/oleObject" Target="../embeddings/oleObject44.bin"/><Relationship Id="rId165" Type="http://schemas.openxmlformats.org/officeDocument/2006/relationships/image" Target="../media/image81.emf"/><Relationship Id="rId186" Type="http://schemas.openxmlformats.org/officeDocument/2006/relationships/image" Target="../media/image91.emf"/><Relationship Id="rId211" Type="http://schemas.openxmlformats.org/officeDocument/2006/relationships/oleObject" Target="../embeddings/oleObject105.bin"/><Relationship Id="rId232" Type="http://schemas.openxmlformats.org/officeDocument/2006/relationships/oleObject" Target="../embeddings/oleObject116.bin"/><Relationship Id="rId253" Type="http://schemas.openxmlformats.org/officeDocument/2006/relationships/image" Target="../media/image124.emf"/><Relationship Id="rId27" Type="http://schemas.openxmlformats.org/officeDocument/2006/relationships/image" Target="../media/image12.emf"/><Relationship Id="rId48" Type="http://schemas.openxmlformats.org/officeDocument/2006/relationships/oleObject" Target="../embeddings/oleObject23.bin"/><Relationship Id="rId69" Type="http://schemas.openxmlformats.org/officeDocument/2006/relationships/image" Target="../media/image33.emf"/><Relationship Id="rId113" Type="http://schemas.openxmlformats.org/officeDocument/2006/relationships/image" Target="../media/image55.emf"/><Relationship Id="rId134" Type="http://schemas.openxmlformats.org/officeDocument/2006/relationships/oleObject" Target="../embeddings/oleObject66.bin"/><Relationship Id="rId80" Type="http://schemas.openxmlformats.org/officeDocument/2006/relationships/oleObject" Target="../embeddings/oleObject39.bin"/><Relationship Id="rId155" Type="http://schemas.openxmlformats.org/officeDocument/2006/relationships/image" Target="../media/image76.emf"/><Relationship Id="rId176" Type="http://schemas.openxmlformats.org/officeDocument/2006/relationships/image" Target="../media/image86.emf"/><Relationship Id="rId197" Type="http://schemas.openxmlformats.org/officeDocument/2006/relationships/oleObject" Target="../embeddings/oleObject98.bin"/><Relationship Id="rId201" Type="http://schemas.openxmlformats.org/officeDocument/2006/relationships/oleObject" Target="../embeddings/oleObject100.bin"/><Relationship Id="rId222" Type="http://schemas.openxmlformats.org/officeDocument/2006/relationships/image" Target="../media/image109.emf"/><Relationship Id="rId243" Type="http://schemas.openxmlformats.org/officeDocument/2006/relationships/image" Target="../media/image119.emf"/><Relationship Id="rId264" Type="http://schemas.openxmlformats.org/officeDocument/2006/relationships/oleObject" Target="../embeddings/oleObject132.bin"/><Relationship Id="rId17" Type="http://schemas.openxmlformats.org/officeDocument/2006/relationships/image" Target="../media/image7.emf"/><Relationship Id="rId38" Type="http://schemas.openxmlformats.org/officeDocument/2006/relationships/oleObject" Target="../embeddings/oleObject18.bin"/><Relationship Id="rId59" Type="http://schemas.openxmlformats.org/officeDocument/2006/relationships/image" Target="../media/image28.emf"/><Relationship Id="rId103" Type="http://schemas.openxmlformats.org/officeDocument/2006/relationships/image" Target="../media/image50.emf"/><Relationship Id="rId124" Type="http://schemas.openxmlformats.org/officeDocument/2006/relationships/oleObject" Target="../embeddings/oleObject61.bin"/><Relationship Id="rId70" Type="http://schemas.openxmlformats.org/officeDocument/2006/relationships/oleObject" Target="../embeddings/oleObject34.bin"/><Relationship Id="rId91" Type="http://schemas.openxmlformats.org/officeDocument/2006/relationships/image" Target="../media/image44.emf"/><Relationship Id="rId145" Type="http://schemas.openxmlformats.org/officeDocument/2006/relationships/image" Target="../media/image71.emf"/><Relationship Id="rId166" Type="http://schemas.openxmlformats.org/officeDocument/2006/relationships/oleObject" Target="../embeddings/oleObject82.bin"/><Relationship Id="rId187" Type="http://schemas.openxmlformats.org/officeDocument/2006/relationships/oleObject" Target="../embeddings/oleObject93.bin"/><Relationship Id="rId1" Type="http://schemas.openxmlformats.org/officeDocument/2006/relationships/printerSettings" Target="../printerSettings/printerSettings1.bin"/><Relationship Id="rId212" Type="http://schemas.openxmlformats.org/officeDocument/2006/relationships/image" Target="../media/image104.emf"/><Relationship Id="rId233" Type="http://schemas.openxmlformats.org/officeDocument/2006/relationships/image" Target="../media/image114.emf"/><Relationship Id="rId254" Type="http://schemas.openxmlformats.org/officeDocument/2006/relationships/oleObject" Target="../embeddings/oleObject127.bin"/><Relationship Id="rId28" Type="http://schemas.openxmlformats.org/officeDocument/2006/relationships/oleObject" Target="../embeddings/oleObject13.bin"/><Relationship Id="rId49" Type="http://schemas.openxmlformats.org/officeDocument/2006/relationships/image" Target="../media/image23.emf"/><Relationship Id="rId114" Type="http://schemas.openxmlformats.org/officeDocument/2006/relationships/oleObject" Target="../embeddings/oleObject56.bin"/><Relationship Id="rId60" Type="http://schemas.openxmlformats.org/officeDocument/2006/relationships/oleObject" Target="../embeddings/oleObject29.bin"/><Relationship Id="rId81" Type="http://schemas.openxmlformats.org/officeDocument/2006/relationships/image" Target="../media/image39.emf"/><Relationship Id="rId135" Type="http://schemas.openxmlformats.org/officeDocument/2006/relationships/image" Target="../media/image66.emf"/><Relationship Id="rId156" Type="http://schemas.openxmlformats.org/officeDocument/2006/relationships/oleObject" Target="../embeddings/oleObject77.bin"/><Relationship Id="rId177" Type="http://schemas.openxmlformats.org/officeDocument/2006/relationships/oleObject" Target="../embeddings/oleObject88.bin"/><Relationship Id="rId198" Type="http://schemas.openxmlformats.org/officeDocument/2006/relationships/image" Target="../media/image97.emf"/><Relationship Id="rId202" Type="http://schemas.openxmlformats.org/officeDocument/2006/relationships/image" Target="../media/image99.emf"/><Relationship Id="rId223" Type="http://schemas.openxmlformats.org/officeDocument/2006/relationships/oleObject" Target="../embeddings/oleObject111.bin"/><Relationship Id="rId244" Type="http://schemas.openxmlformats.org/officeDocument/2006/relationships/oleObject" Target="../embeddings/oleObject122.bin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265" Type="http://schemas.openxmlformats.org/officeDocument/2006/relationships/image" Target="../media/image130.emf"/><Relationship Id="rId50" Type="http://schemas.openxmlformats.org/officeDocument/2006/relationships/oleObject" Target="../embeddings/oleObject24.bin"/><Relationship Id="rId104" Type="http://schemas.openxmlformats.org/officeDocument/2006/relationships/oleObject" Target="../embeddings/oleObject51.bin"/><Relationship Id="rId125" Type="http://schemas.openxmlformats.org/officeDocument/2006/relationships/image" Target="../media/image61.emf"/><Relationship Id="rId146" Type="http://schemas.openxmlformats.org/officeDocument/2006/relationships/oleObject" Target="../embeddings/oleObject72.bin"/><Relationship Id="rId167" Type="http://schemas.openxmlformats.org/officeDocument/2006/relationships/image" Target="../media/image82.emf"/><Relationship Id="rId188" Type="http://schemas.openxmlformats.org/officeDocument/2006/relationships/image" Target="../media/image9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13" Type="http://schemas.openxmlformats.org/officeDocument/2006/relationships/oleObject" Target="../embeddings/oleObject106.bin"/><Relationship Id="rId234" Type="http://schemas.openxmlformats.org/officeDocument/2006/relationships/oleObject" Target="../embeddings/oleObject117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55" Type="http://schemas.openxmlformats.org/officeDocument/2006/relationships/image" Target="../media/image125.emf"/><Relationship Id="rId40" Type="http://schemas.openxmlformats.org/officeDocument/2006/relationships/oleObject" Target="../embeddings/oleObject19.bin"/><Relationship Id="rId115" Type="http://schemas.openxmlformats.org/officeDocument/2006/relationships/image" Target="../media/image56.emf"/><Relationship Id="rId136" Type="http://schemas.openxmlformats.org/officeDocument/2006/relationships/oleObject" Target="../embeddings/oleObject67.bin"/><Relationship Id="rId157" Type="http://schemas.openxmlformats.org/officeDocument/2006/relationships/image" Target="../media/image77.emf"/><Relationship Id="rId178" Type="http://schemas.openxmlformats.org/officeDocument/2006/relationships/image" Target="../media/image87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9" Type="http://schemas.openxmlformats.org/officeDocument/2006/relationships/oleObject" Target="../embeddings/oleObject99.bin"/><Relationship Id="rId203" Type="http://schemas.openxmlformats.org/officeDocument/2006/relationships/oleObject" Target="../embeddings/oleObject101.bin"/><Relationship Id="rId19" Type="http://schemas.openxmlformats.org/officeDocument/2006/relationships/image" Target="../media/image8.emf"/><Relationship Id="rId224" Type="http://schemas.openxmlformats.org/officeDocument/2006/relationships/image" Target="../media/image110.emf"/><Relationship Id="rId245" Type="http://schemas.openxmlformats.org/officeDocument/2006/relationships/image" Target="../media/image120.emf"/><Relationship Id="rId266" Type="http://schemas.openxmlformats.org/officeDocument/2006/relationships/comments" Target="../comments1.xml"/><Relationship Id="rId30" Type="http://schemas.openxmlformats.org/officeDocument/2006/relationships/oleObject" Target="../embeddings/oleObject14.bin"/><Relationship Id="rId105" Type="http://schemas.openxmlformats.org/officeDocument/2006/relationships/image" Target="../media/image51.emf"/><Relationship Id="rId126" Type="http://schemas.openxmlformats.org/officeDocument/2006/relationships/oleObject" Target="../embeddings/oleObject62.bin"/><Relationship Id="rId147" Type="http://schemas.openxmlformats.org/officeDocument/2006/relationships/image" Target="../media/image72.emf"/><Relationship Id="rId168" Type="http://schemas.openxmlformats.org/officeDocument/2006/relationships/oleObject" Target="../embeddings/oleObject8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93" Type="http://schemas.openxmlformats.org/officeDocument/2006/relationships/image" Target="../media/image45.emf"/><Relationship Id="rId189" Type="http://schemas.openxmlformats.org/officeDocument/2006/relationships/oleObject" Target="../embeddings/oleObject94.bin"/><Relationship Id="rId3" Type="http://schemas.openxmlformats.org/officeDocument/2006/relationships/vmlDrawing" Target="../drawings/vmlDrawing1.vml"/><Relationship Id="rId214" Type="http://schemas.openxmlformats.org/officeDocument/2006/relationships/image" Target="../media/image105.emf"/><Relationship Id="rId235" Type="http://schemas.openxmlformats.org/officeDocument/2006/relationships/image" Target="../media/image115.emf"/><Relationship Id="rId256" Type="http://schemas.openxmlformats.org/officeDocument/2006/relationships/oleObject" Target="../embeddings/oleObject128.bin"/><Relationship Id="rId116" Type="http://schemas.openxmlformats.org/officeDocument/2006/relationships/oleObject" Target="../embeddings/oleObject57.bin"/><Relationship Id="rId137" Type="http://schemas.openxmlformats.org/officeDocument/2006/relationships/image" Target="../media/image67.emf"/><Relationship Id="rId158" Type="http://schemas.openxmlformats.org/officeDocument/2006/relationships/oleObject" Target="../embeddings/oleObject78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62" Type="http://schemas.openxmlformats.org/officeDocument/2006/relationships/oleObject" Target="../embeddings/oleObject30.bin"/><Relationship Id="rId83" Type="http://schemas.openxmlformats.org/officeDocument/2006/relationships/image" Target="../media/image40.emf"/><Relationship Id="rId179" Type="http://schemas.openxmlformats.org/officeDocument/2006/relationships/oleObject" Target="../embeddings/oleObject89.bin"/><Relationship Id="rId190" Type="http://schemas.openxmlformats.org/officeDocument/2006/relationships/image" Target="../media/image93.emf"/><Relationship Id="rId204" Type="http://schemas.openxmlformats.org/officeDocument/2006/relationships/image" Target="../media/image100.emf"/><Relationship Id="rId225" Type="http://schemas.openxmlformats.org/officeDocument/2006/relationships/oleObject" Target="../embeddings/oleObject112.bin"/><Relationship Id="rId246" Type="http://schemas.openxmlformats.org/officeDocument/2006/relationships/oleObject" Target="../embeddings/oleObject123.bin"/><Relationship Id="rId106" Type="http://schemas.openxmlformats.org/officeDocument/2006/relationships/oleObject" Target="../embeddings/oleObject52.bin"/><Relationship Id="rId127" Type="http://schemas.openxmlformats.org/officeDocument/2006/relationships/image" Target="../media/image62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52" Type="http://schemas.openxmlformats.org/officeDocument/2006/relationships/oleObject" Target="../embeddings/oleObject25.bin"/><Relationship Id="rId73" Type="http://schemas.openxmlformats.org/officeDocument/2006/relationships/image" Target="../media/image35.emf"/><Relationship Id="rId94" Type="http://schemas.openxmlformats.org/officeDocument/2006/relationships/oleObject" Target="../embeddings/oleObject46.bin"/><Relationship Id="rId148" Type="http://schemas.openxmlformats.org/officeDocument/2006/relationships/oleObject" Target="../embeddings/oleObject73.bin"/><Relationship Id="rId169" Type="http://schemas.openxmlformats.org/officeDocument/2006/relationships/oleObject" Target="../embeddings/oleObject84.bin"/><Relationship Id="rId4" Type="http://schemas.openxmlformats.org/officeDocument/2006/relationships/oleObject" Target="../embeddings/oleObject1.bin"/><Relationship Id="rId180" Type="http://schemas.openxmlformats.org/officeDocument/2006/relationships/image" Target="../media/image88.emf"/><Relationship Id="rId215" Type="http://schemas.openxmlformats.org/officeDocument/2006/relationships/oleObject" Target="../embeddings/oleObject107.bin"/><Relationship Id="rId236" Type="http://schemas.openxmlformats.org/officeDocument/2006/relationships/oleObject" Target="../embeddings/oleObject118.bin"/><Relationship Id="rId257" Type="http://schemas.openxmlformats.org/officeDocument/2006/relationships/image" Target="../media/image126.emf"/><Relationship Id="rId42" Type="http://schemas.openxmlformats.org/officeDocument/2006/relationships/oleObject" Target="../embeddings/oleObject20.bin"/><Relationship Id="rId84" Type="http://schemas.openxmlformats.org/officeDocument/2006/relationships/oleObject" Target="../embeddings/oleObject41.bin"/><Relationship Id="rId138" Type="http://schemas.openxmlformats.org/officeDocument/2006/relationships/oleObject" Target="../embeddings/oleObject68.bin"/><Relationship Id="rId191" Type="http://schemas.openxmlformats.org/officeDocument/2006/relationships/oleObject" Target="../embeddings/oleObject95.bin"/><Relationship Id="rId205" Type="http://schemas.openxmlformats.org/officeDocument/2006/relationships/oleObject" Target="../embeddings/oleObject102.bin"/><Relationship Id="rId247" Type="http://schemas.openxmlformats.org/officeDocument/2006/relationships/image" Target="../media/image121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emf"/><Relationship Id="rId3" Type="http://schemas.openxmlformats.org/officeDocument/2006/relationships/drawing" Target="../drawings/drawing2.xml"/><Relationship Id="rId7" Type="http://schemas.openxmlformats.org/officeDocument/2006/relationships/oleObject" Target="../embeddings/oleObject134.bin"/><Relationship Id="rId12" Type="http://schemas.openxmlformats.org/officeDocument/2006/relationships/image" Target="../media/image134.emf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Relationship Id="rId6" Type="http://schemas.openxmlformats.org/officeDocument/2006/relationships/image" Target="../media/image131.emf"/><Relationship Id="rId11" Type="http://schemas.openxmlformats.org/officeDocument/2006/relationships/oleObject" Target="../embeddings/oleObject136.bin"/><Relationship Id="rId5" Type="http://schemas.openxmlformats.org/officeDocument/2006/relationships/oleObject" Target="../embeddings/oleObject133.bin"/><Relationship Id="rId10" Type="http://schemas.openxmlformats.org/officeDocument/2006/relationships/image" Target="../media/image133.emf"/><Relationship Id="rId4" Type="http://schemas.openxmlformats.org/officeDocument/2006/relationships/vmlDrawing" Target="../drawings/vmlDrawing2.vml"/><Relationship Id="rId9" Type="http://schemas.openxmlformats.org/officeDocument/2006/relationships/oleObject" Target="../embeddings/oleObject135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86F07-DE4E-4553-8694-CC9A8940E660}">
  <dimension ref="A2:C15"/>
  <sheetViews>
    <sheetView tabSelected="1" workbookViewId="0">
      <selection activeCell="C16" sqref="C16"/>
    </sheetView>
  </sheetViews>
  <sheetFormatPr defaultRowHeight="14.5" x14ac:dyDescent="0.35"/>
  <cols>
    <col min="3" max="3" width="26" bestFit="1" customWidth="1"/>
  </cols>
  <sheetData>
    <row r="2" spans="1:3" x14ac:dyDescent="0.35">
      <c r="A2" t="s">
        <v>38</v>
      </c>
      <c r="B2" t="s">
        <v>41</v>
      </c>
      <c r="C2" t="s">
        <v>10</v>
      </c>
    </row>
    <row r="3" spans="1:3" x14ac:dyDescent="0.35">
      <c r="A3" t="s">
        <v>39</v>
      </c>
      <c r="B3" t="s">
        <v>41</v>
      </c>
      <c r="C3" t="s">
        <v>20</v>
      </c>
    </row>
    <row r="4" spans="1:3" x14ac:dyDescent="0.35">
      <c r="A4" t="s">
        <v>40</v>
      </c>
      <c r="B4" t="s">
        <v>41</v>
      </c>
      <c r="C4" t="s">
        <v>36</v>
      </c>
    </row>
    <row r="5" spans="1:3" x14ac:dyDescent="0.35">
      <c r="A5" t="s">
        <v>304</v>
      </c>
      <c r="B5" t="s">
        <v>41</v>
      </c>
      <c r="C5" t="s">
        <v>306</v>
      </c>
    </row>
    <row r="6" spans="1:3" x14ac:dyDescent="0.35">
      <c r="A6" t="s">
        <v>305</v>
      </c>
      <c r="B6" t="s">
        <v>41</v>
      </c>
      <c r="C6" t="s">
        <v>307</v>
      </c>
    </row>
    <row r="7" spans="1:3" x14ac:dyDescent="0.35">
      <c r="A7" t="s">
        <v>345</v>
      </c>
      <c r="B7" t="s">
        <v>41</v>
      </c>
      <c r="C7" t="s">
        <v>339</v>
      </c>
    </row>
    <row r="8" spans="1:3" x14ac:dyDescent="0.35">
      <c r="A8" t="s">
        <v>355</v>
      </c>
      <c r="B8" t="s">
        <v>41</v>
      </c>
      <c r="C8" t="s">
        <v>346</v>
      </c>
    </row>
    <row r="9" spans="1:3" x14ac:dyDescent="0.35">
      <c r="A9" t="s">
        <v>360</v>
      </c>
      <c r="B9" t="s">
        <v>41</v>
      </c>
      <c r="C9" t="s">
        <v>361</v>
      </c>
    </row>
    <row r="10" spans="1:3" x14ac:dyDescent="0.35">
      <c r="A10" t="s">
        <v>422</v>
      </c>
      <c r="B10" t="s">
        <v>41</v>
      </c>
      <c r="C10" t="s">
        <v>423</v>
      </c>
    </row>
    <row r="11" spans="1:3" x14ac:dyDescent="0.35">
      <c r="A11" t="s">
        <v>427</v>
      </c>
      <c r="B11" t="s">
        <v>41</v>
      </c>
      <c r="C11" t="s">
        <v>428</v>
      </c>
    </row>
    <row r="12" spans="1:3" x14ac:dyDescent="0.35">
      <c r="A12" t="s">
        <v>460</v>
      </c>
      <c r="B12" t="s">
        <v>41</v>
      </c>
      <c r="C12" t="s">
        <v>471</v>
      </c>
    </row>
    <row r="13" spans="1:3" x14ac:dyDescent="0.35">
      <c r="A13" t="s">
        <v>504</v>
      </c>
      <c r="B13" t="s">
        <v>41</v>
      </c>
      <c r="C13" t="s">
        <v>503</v>
      </c>
    </row>
    <row r="14" spans="1:3" x14ac:dyDescent="0.35">
      <c r="A14" t="s">
        <v>684</v>
      </c>
      <c r="B14" t="s">
        <v>41</v>
      </c>
      <c r="C14" t="s">
        <v>685</v>
      </c>
    </row>
    <row r="15" spans="1:3" x14ac:dyDescent="0.35">
      <c r="A15" t="s">
        <v>1198</v>
      </c>
      <c r="B15" t="s">
        <v>41</v>
      </c>
      <c r="C15" t="s">
        <v>1199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DC775F-2796-4425-BDED-9D22DBC4C380}">
  <sheetPr>
    <tabColor rgb="FFFF0000"/>
    <pageSetUpPr fitToPage="1"/>
  </sheetPr>
  <dimension ref="A1:U438"/>
  <sheetViews>
    <sheetView topLeftCell="A422" zoomScale="85" zoomScaleNormal="85" workbookViewId="0">
      <selection activeCell="A434" sqref="A434"/>
    </sheetView>
  </sheetViews>
  <sheetFormatPr defaultRowHeight="14.5" x14ac:dyDescent="0.35"/>
  <cols>
    <col min="1" max="1" width="11.08984375" style="74" customWidth="1"/>
    <col min="2" max="2" width="5.1796875" style="74" customWidth="1"/>
    <col min="3" max="3" width="5.54296875" style="74" customWidth="1"/>
    <col min="4" max="4" width="11.26953125" style="74" bestFit="1" customWidth="1"/>
    <col min="5" max="5" width="12" style="69" customWidth="1"/>
    <col min="6" max="7" width="20" style="69" customWidth="1"/>
    <col min="8" max="8" width="9" style="69" customWidth="1"/>
    <col min="9" max="9" width="5.26953125" style="74" customWidth="1"/>
    <col min="10" max="10" width="5.6328125" style="69" customWidth="1"/>
    <col min="11" max="11" width="9.90625" style="69" customWidth="1"/>
    <col min="12" max="12" width="10.6328125" style="69" customWidth="1"/>
    <col min="13" max="13" width="13.26953125" style="69" customWidth="1"/>
    <col min="14" max="14" width="13.81640625" style="69" customWidth="1"/>
    <col min="15" max="15" width="5.26953125" style="69" customWidth="1"/>
    <col min="16" max="16" width="7.6328125" style="69" customWidth="1"/>
    <col min="17" max="17" width="19.08984375" style="69" customWidth="1"/>
    <col min="18" max="18" width="12.6328125" style="69" customWidth="1"/>
    <col min="19" max="19" width="2.90625" style="69" customWidth="1"/>
    <col min="20" max="16384" width="8.7265625" style="69"/>
  </cols>
  <sheetData>
    <row r="1" spans="1:19" customFormat="1" x14ac:dyDescent="0.35">
      <c r="A1" s="42" t="s">
        <v>2</v>
      </c>
      <c r="B1" s="10"/>
      <c r="C1" s="10"/>
      <c r="D1" s="10"/>
      <c r="I1" s="10"/>
    </row>
    <row r="2" spans="1:19" customFormat="1" x14ac:dyDescent="0.35">
      <c r="A2" s="10"/>
      <c r="B2" s="10"/>
      <c r="C2" s="10"/>
      <c r="D2" s="10"/>
      <c r="I2" s="10"/>
    </row>
    <row r="3" spans="1:19" customFormat="1" x14ac:dyDescent="0.35">
      <c r="A3" s="42" t="s">
        <v>3</v>
      </c>
      <c r="B3" s="10"/>
      <c r="C3" s="10"/>
      <c r="D3" s="10"/>
      <c r="I3" s="10"/>
    </row>
    <row r="4" spans="1:19" customFormat="1" x14ac:dyDescent="0.35">
      <c r="A4" s="10"/>
      <c r="B4" s="10"/>
      <c r="C4" s="10"/>
      <c r="D4" s="10"/>
      <c r="I4" s="10"/>
    </row>
    <row r="5" spans="1:19" customFormat="1" ht="29" x14ac:dyDescent="0.35">
      <c r="A5" s="1" t="s">
        <v>6</v>
      </c>
      <c r="B5" s="3" t="s">
        <v>112</v>
      </c>
      <c r="C5" s="1" t="s">
        <v>291</v>
      </c>
      <c r="D5" s="13" t="s">
        <v>84</v>
      </c>
      <c r="E5" s="1" t="s">
        <v>11</v>
      </c>
      <c r="F5" s="1" t="s">
        <v>12</v>
      </c>
      <c r="G5" s="3" t="s">
        <v>178</v>
      </c>
      <c r="H5" s="36" t="s">
        <v>32</v>
      </c>
      <c r="I5" s="13" t="s">
        <v>104</v>
      </c>
      <c r="J5" s="3" t="s">
        <v>105</v>
      </c>
      <c r="K5" s="1" t="s">
        <v>4</v>
      </c>
      <c r="L5" s="13" t="s">
        <v>5</v>
      </c>
      <c r="M5" s="6" t="s">
        <v>7</v>
      </c>
      <c r="N5" s="1" t="s">
        <v>8</v>
      </c>
      <c r="O5" s="13" t="s">
        <v>27</v>
      </c>
      <c r="P5" s="6" t="s">
        <v>91</v>
      </c>
      <c r="Q5" s="1" t="s">
        <v>9</v>
      </c>
      <c r="R5" s="1" t="s">
        <v>26</v>
      </c>
    </row>
    <row r="6" spans="1:19" customFormat="1" ht="43.5" x14ac:dyDescent="0.35">
      <c r="A6" s="24">
        <v>43818</v>
      </c>
      <c r="B6" s="26">
        <f>MONTH(A6)</f>
        <v>12</v>
      </c>
      <c r="C6" s="11">
        <f>YEAR(A6)</f>
        <v>2019</v>
      </c>
      <c r="D6" s="98" t="s">
        <v>325</v>
      </c>
      <c r="E6" s="24" t="s">
        <v>10</v>
      </c>
      <c r="F6" s="30" t="s">
        <v>14</v>
      </c>
      <c r="G6" s="31" t="s">
        <v>14</v>
      </c>
      <c r="H6" s="37" t="s">
        <v>47</v>
      </c>
      <c r="I6" s="11">
        <v>5</v>
      </c>
      <c r="J6" s="4" t="s">
        <v>0</v>
      </c>
      <c r="K6" s="5">
        <v>1226.25</v>
      </c>
      <c r="L6" s="59">
        <f>SUM(I6*K6)</f>
        <v>6131.25</v>
      </c>
      <c r="M6" s="8">
        <f>SUM(L6)</f>
        <v>6131.25</v>
      </c>
      <c r="N6" s="17" t="s">
        <v>162</v>
      </c>
      <c r="O6" s="2">
        <f>1+1+1+1+1</f>
        <v>5</v>
      </c>
      <c r="P6" s="7">
        <f t="shared" ref="P6:P37" si="0">I6-O6</f>
        <v>0</v>
      </c>
      <c r="Q6" s="16" t="s">
        <v>166</v>
      </c>
      <c r="R6" s="16" t="s">
        <v>89</v>
      </c>
    </row>
    <row r="7" spans="1:19" customFormat="1" ht="29" x14ac:dyDescent="0.35">
      <c r="A7" s="24">
        <v>43818</v>
      </c>
      <c r="B7" s="26">
        <f>MONTH(A7)</f>
        <v>12</v>
      </c>
      <c r="C7" s="11">
        <f t="shared" ref="C7:C70" si="1">YEAR(A7)</f>
        <v>2019</v>
      </c>
      <c r="D7" s="98" t="s">
        <v>325</v>
      </c>
      <c r="E7" s="24" t="s">
        <v>10</v>
      </c>
      <c r="F7" s="30" t="s">
        <v>15</v>
      </c>
      <c r="G7" s="31" t="s">
        <v>15</v>
      </c>
      <c r="H7" s="37" t="s">
        <v>47</v>
      </c>
      <c r="I7" s="11">
        <v>1</v>
      </c>
      <c r="J7" s="4" t="s">
        <v>0</v>
      </c>
      <c r="K7" s="5">
        <v>1226.25</v>
      </c>
      <c r="L7" s="59">
        <f t="shared" ref="L7" si="2">SUM(I7*K7)</f>
        <v>1226.25</v>
      </c>
      <c r="M7" s="8">
        <f>SUM(M6+L7)</f>
        <v>7357.5</v>
      </c>
      <c r="N7" s="18" t="s">
        <v>163</v>
      </c>
      <c r="O7" s="2">
        <v>1</v>
      </c>
      <c r="P7" s="7">
        <f t="shared" si="0"/>
        <v>0</v>
      </c>
      <c r="Q7" s="15" t="s">
        <v>165</v>
      </c>
      <c r="R7" s="15" t="s">
        <v>87</v>
      </c>
    </row>
    <row r="8" spans="1:19" customFormat="1" ht="43.5" x14ac:dyDescent="0.35">
      <c r="A8" s="24">
        <v>43818</v>
      </c>
      <c r="B8" s="26">
        <f>MONTH(A8)</f>
        <v>12</v>
      </c>
      <c r="C8" s="11">
        <f t="shared" si="1"/>
        <v>2019</v>
      </c>
      <c r="D8" s="98" t="s">
        <v>325</v>
      </c>
      <c r="E8" s="24" t="s">
        <v>10</v>
      </c>
      <c r="F8" s="30" t="s">
        <v>13</v>
      </c>
      <c r="G8" s="31" t="s">
        <v>176</v>
      </c>
      <c r="H8" s="37" t="s">
        <v>47</v>
      </c>
      <c r="I8" s="11">
        <v>16</v>
      </c>
      <c r="J8" s="4" t="s">
        <v>1</v>
      </c>
      <c r="K8" s="5">
        <v>173.9</v>
      </c>
      <c r="L8" s="59">
        <f>SUM(I8*K8)</f>
        <v>2782.4</v>
      </c>
      <c r="M8" s="8">
        <f>SUM(M7+L8)</f>
        <v>10139.9</v>
      </c>
      <c r="N8" s="19" t="s">
        <v>120</v>
      </c>
      <c r="O8" s="2">
        <f>6+3+4+2+1</f>
        <v>16</v>
      </c>
      <c r="P8" s="7">
        <f t="shared" si="0"/>
        <v>0</v>
      </c>
      <c r="Q8" s="15" t="s">
        <v>119</v>
      </c>
      <c r="R8" s="15"/>
    </row>
    <row r="9" spans="1:19" customFormat="1" ht="43.5" x14ac:dyDescent="0.35">
      <c r="A9" s="24">
        <v>43818</v>
      </c>
      <c r="B9" s="26">
        <f t="shared" ref="B9:B64" si="3">MONTH(A9)</f>
        <v>12</v>
      </c>
      <c r="C9" s="11">
        <f t="shared" si="1"/>
        <v>2019</v>
      </c>
      <c r="D9" s="98" t="s">
        <v>325</v>
      </c>
      <c r="E9" s="24" t="s">
        <v>10</v>
      </c>
      <c r="F9" s="30" t="s">
        <v>58</v>
      </c>
      <c r="G9" s="31" t="s">
        <v>179</v>
      </c>
      <c r="H9" s="37" t="s">
        <v>47</v>
      </c>
      <c r="I9" s="11">
        <v>4</v>
      </c>
      <c r="J9" s="4" t="s">
        <v>1</v>
      </c>
      <c r="K9" s="5">
        <v>141</v>
      </c>
      <c r="L9" s="59">
        <f t="shared" ref="L9:L16" si="4">SUM(I9*K9)</f>
        <v>564</v>
      </c>
      <c r="M9" s="8">
        <f>SUM(M8+L9)</f>
        <v>10703.9</v>
      </c>
      <c r="N9" s="14" t="s">
        <v>131</v>
      </c>
      <c r="O9" s="2">
        <f>2+1+1</f>
        <v>4</v>
      </c>
      <c r="P9" s="7">
        <f t="shared" si="0"/>
        <v>0</v>
      </c>
      <c r="Q9" s="15" t="s">
        <v>132</v>
      </c>
      <c r="R9" s="15"/>
    </row>
    <row r="10" spans="1:19" customFormat="1" ht="29" x14ac:dyDescent="0.35">
      <c r="A10" s="24">
        <v>43818</v>
      </c>
      <c r="B10" s="26">
        <f t="shared" si="3"/>
        <v>12</v>
      </c>
      <c r="C10" s="11">
        <f t="shared" si="1"/>
        <v>2019</v>
      </c>
      <c r="D10" s="98" t="s">
        <v>325</v>
      </c>
      <c r="E10" s="24" t="s">
        <v>10</v>
      </c>
      <c r="F10" s="30" t="s">
        <v>16</v>
      </c>
      <c r="G10" s="31" t="s">
        <v>16</v>
      </c>
      <c r="H10" s="35" t="s">
        <v>47</v>
      </c>
      <c r="I10" s="11">
        <v>10</v>
      </c>
      <c r="J10" s="4" t="s">
        <v>18</v>
      </c>
      <c r="K10" s="5">
        <v>180</v>
      </c>
      <c r="L10" s="59">
        <f t="shared" si="4"/>
        <v>1800</v>
      </c>
      <c r="M10" s="8">
        <f>SUM(M9+L10)</f>
        <v>12503.9</v>
      </c>
      <c r="N10" s="18" t="s">
        <v>167</v>
      </c>
      <c r="O10" s="2">
        <f>9+1</f>
        <v>10</v>
      </c>
      <c r="P10" s="7">
        <f t="shared" si="0"/>
        <v>0</v>
      </c>
      <c r="Q10" s="15" t="s">
        <v>168</v>
      </c>
      <c r="R10" s="15" t="s">
        <v>90</v>
      </c>
      <c r="S10" s="23"/>
    </row>
    <row r="11" spans="1:19" customFormat="1" ht="29" x14ac:dyDescent="0.35">
      <c r="A11" s="27">
        <v>43984</v>
      </c>
      <c r="B11" s="26">
        <f t="shared" si="3"/>
        <v>6</v>
      </c>
      <c r="C11" s="11">
        <f t="shared" si="1"/>
        <v>2020</v>
      </c>
      <c r="D11" s="27" t="s">
        <v>74</v>
      </c>
      <c r="E11" s="24" t="s">
        <v>10</v>
      </c>
      <c r="F11" s="30" t="s">
        <v>15</v>
      </c>
      <c r="G11" s="31" t="s">
        <v>15</v>
      </c>
      <c r="H11" s="37" t="s">
        <v>47</v>
      </c>
      <c r="I11" s="11">
        <v>1</v>
      </c>
      <c r="J11" s="4" t="s">
        <v>0</v>
      </c>
      <c r="K11" s="9">
        <v>1181.25</v>
      </c>
      <c r="L11" s="60">
        <f t="shared" si="4"/>
        <v>1181.25</v>
      </c>
      <c r="M11" s="8">
        <f>SUM(M10+L11)</f>
        <v>13685.15</v>
      </c>
      <c r="N11" s="20" t="s">
        <v>163</v>
      </c>
      <c r="O11" s="2">
        <v>1</v>
      </c>
      <c r="P11" s="7">
        <f t="shared" si="0"/>
        <v>0</v>
      </c>
      <c r="Q11" s="15" t="s">
        <v>165</v>
      </c>
      <c r="R11" s="61" t="s">
        <v>92</v>
      </c>
    </row>
    <row r="12" spans="1:19" customFormat="1" ht="29" x14ac:dyDescent="0.35">
      <c r="A12" s="27">
        <v>43984</v>
      </c>
      <c r="B12" s="26">
        <f t="shared" si="3"/>
        <v>6</v>
      </c>
      <c r="C12" s="11">
        <f t="shared" si="1"/>
        <v>2020</v>
      </c>
      <c r="D12" s="27" t="s">
        <v>74</v>
      </c>
      <c r="E12" s="24" t="s">
        <v>10</v>
      </c>
      <c r="F12" s="30" t="s">
        <v>17</v>
      </c>
      <c r="G12" s="31" t="s">
        <v>17</v>
      </c>
      <c r="H12" s="37" t="s">
        <v>47</v>
      </c>
      <c r="I12" s="12">
        <v>2</v>
      </c>
      <c r="J12" t="s">
        <v>18</v>
      </c>
      <c r="K12" s="9">
        <v>176</v>
      </c>
      <c r="L12" s="60">
        <f t="shared" si="4"/>
        <v>352</v>
      </c>
      <c r="M12" s="8">
        <f t="shared" ref="M12:M16" si="5">SUM(M11+L12)</f>
        <v>14037.15</v>
      </c>
      <c r="N12" s="18" t="s">
        <v>22</v>
      </c>
      <c r="O12" s="2">
        <v>2</v>
      </c>
      <c r="P12" s="7">
        <f t="shared" si="0"/>
        <v>0</v>
      </c>
      <c r="Q12" s="15" t="s">
        <v>46</v>
      </c>
      <c r="R12" s="15"/>
    </row>
    <row r="13" spans="1:19" customFormat="1" ht="43.5" x14ac:dyDescent="0.35">
      <c r="A13" s="27">
        <v>43984</v>
      </c>
      <c r="B13" s="26">
        <f t="shared" si="3"/>
        <v>6</v>
      </c>
      <c r="C13" s="11">
        <f t="shared" si="1"/>
        <v>2020</v>
      </c>
      <c r="D13" s="27" t="s">
        <v>74</v>
      </c>
      <c r="E13" s="24" t="s">
        <v>10</v>
      </c>
      <c r="F13" s="30" t="s">
        <v>93</v>
      </c>
      <c r="G13" s="31" t="s">
        <v>177</v>
      </c>
      <c r="H13" s="37" t="s">
        <v>47</v>
      </c>
      <c r="I13" s="12">
        <v>16</v>
      </c>
      <c r="J13" t="s">
        <v>1</v>
      </c>
      <c r="K13" s="9">
        <v>253.8</v>
      </c>
      <c r="L13" s="60">
        <f t="shared" si="4"/>
        <v>4060.8</v>
      </c>
      <c r="M13" s="8">
        <f t="shared" si="5"/>
        <v>18097.95</v>
      </c>
      <c r="N13" s="15" t="s">
        <v>156</v>
      </c>
      <c r="O13" s="2">
        <f>1+4+3+5+1+2</f>
        <v>16</v>
      </c>
      <c r="P13" s="7">
        <f t="shared" si="0"/>
        <v>0</v>
      </c>
      <c r="Q13" s="15" t="s">
        <v>157</v>
      </c>
      <c r="R13" s="15"/>
    </row>
    <row r="14" spans="1:19" customFormat="1" ht="43.5" x14ac:dyDescent="0.35">
      <c r="A14" s="27">
        <v>43984</v>
      </c>
      <c r="B14" s="26">
        <f t="shared" si="3"/>
        <v>6</v>
      </c>
      <c r="C14" s="11">
        <f t="shared" si="1"/>
        <v>2020</v>
      </c>
      <c r="D14" s="27" t="s">
        <v>74</v>
      </c>
      <c r="E14" s="24" t="s">
        <v>10</v>
      </c>
      <c r="F14" s="30" t="s">
        <v>19</v>
      </c>
      <c r="G14" s="31" t="s">
        <v>19</v>
      </c>
      <c r="H14" s="37" t="s">
        <v>47</v>
      </c>
      <c r="I14" s="12">
        <v>12</v>
      </c>
      <c r="J14" t="s">
        <v>25</v>
      </c>
      <c r="K14" s="9">
        <v>77.5</v>
      </c>
      <c r="L14" s="60">
        <f t="shared" si="4"/>
        <v>930</v>
      </c>
      <c r="M14" s="8">
        <f t="shared" si="5"/>
        <v>19027.95</v>
      </c>
      <c r="N14" s="14" t="s">
        <v>100</v>
      </c>
      <c r="O14" s="2">
        <f>2+2+1+1+4+2</f>
        <v>12</v>
      </c>
      <c r="P14" s="7">
        <f t="shared" si="0"/>
        <v>0</v>
      </c>
      <c r="Q14" s="15" t="s">
        <v>101</v>
      </c>
      <c r="R14" s="15"/>
    </row>
    <row r="15" spans="1:19" customFormat="1" x14ac:dyDescent="0.35">
      <c r="A15" s="27">
        <v>43992</v>
      </c>
      <c r="B15" s="26">
        <f t="shared" si="3"/>
        <v>6</v>
      </c>
      <c r="C15" s="11">
        <f t="shared" si="1"/>
        <v>2020</v>
      </c>
      <c r="D15" s="99">
        <v>100620</v>
      </c>
      <c r="E15" s="24" t="s">
        <v>20</v>
      </c>
      <c r="F15" s="39" t="s">
        <v>21</v>
      </c>
      <c r="G15" s="40" t="s">
        <v>21</v>
      </c>
      <c r="H15" s="35" t="s">
        <v>47</v>
      </c>
      <c r="I15" s="12">
        <v>1</v>
      </c>
      <c r="J15" s="2" t="s">
        <v>0</v>
      </c>
      <c r="K15" s="9">
        <v>470</v>
      </c>
      <c r="L15" s="60">
        <f t="shared" si="4"/>
        <v>470</v>
      </c>
      <c r="M15" s="8">
        <f t="shared" si="5"/>
        <v>19497.95</v>
      </c>
      <c r="N15" s="18" t="s">
        <v>24</v>
      </c>
      <c r="O15" s="2">
        <v>1</v>
      </c>
      <c r="P15" s="7">
        <f t="shared" si="0"/>
        <v>0</v>
      </c>
      <c r="Q15" s="15" t="s">
        <v>23</v>
      </c>
      <c r="R15" s="15"/>
    </row>
    <row r="16" spans="1:19" customFormat="1" ht="29" x14ac:dyDescent="0.35">
      <c r="A16" s="27">
        <v>44016</v>
      </c>
      <c r="B16" s="26">
        <f t="shared" si="3"/>
        <v>7</v>
      </c>
      <c r="C16" s="11">
        <f t="shared" si="1"/>
        <v>2020</v>
      </c>
      <c r="D16" s="27" t="s">
        <v>75</v>
      </c>
      <c r="E16" s="24" t="s">
        <v>10</v>
      </c>
      <c r="F16" s="39" t="s">
        <v>29</v>
      </c>
      <c r="G16" s="40" t="s">
        <v>29</v>
      </c>
      <c r="H16" s="37" t="s">
        <v>47</v>
      </c>
      <c r="I16" s="12">
        <v>4</v>
      </c>
      <c r="J16" s="2" t="s">
        <v>0</v>
      </c>
      <c r="K16" s="9">
        <v>1155</v>
      </c>
      <c r="L16" s="60">
        <f t="shared" si="4"/>
        <v>4620</v>
      </c>
      <c r="M16" s="8">
        <f t="shared" si="5"/>
        <v>24117.95</v>
      </c>
      <c r="N16" s="20" t="s">
        <v>43</v>
      </c>
      <c r="O16" s="2">
        <f>1+2+1</f>
        <v>4</v>
      </c>
      <c r="P16" s="7">
        <f t="shared" si="0"/>
        <v>0</v>
      </c>
      <c r="Q16" s="15" t="s">
        <v>42</v>
      </c>
      <c r="R16" s="15"/>
    </row>
    <row r="17" spans="1:18" customFormat="1" ht="43.5" x14ac:dyDescent="0.35">
      <c r="A17" s="27">
        <v>44016</v>
      </c>
      <c r="B17" s="26">
        <f t="shared" si="3"/>
        <v>7</v>
      </c>
      <c r="C17" s="11">
        <f t="shared" si="1"/>
        <v>2020</v>
      </c>
      <c r="D17" s="27" t="s">
        <v>75</v>
      </c>
      <c r="E17" s="24" t="s">
        <v>10</v>
      </c>
      <c r="F17" s="30" t="s">
        <v>13</v>
      </c>
      <c r="G17" s="31" t="s">
        <v>176</v>
      </c>
      <c r="H17" s="37" t="s">
        <v>47</v>
      </c>
      <c r="I17" s="12">
        <v>20</v>
      </c>
      <c r="J17" s="2" t="s">
        <v>1</v>
      </c>
      <c r="K17" s="9">
        <v>173.9</v>
      </c>
      <c r="L17" s="60">
        <f t="shared" ref="L17:L82" si="6">SUM(I17*K17)</f>
        <v>3478</v>
      </c>
      <c r="M17" s="8">
        <f t="shared" ref="M17:M83" si="7">SUM(M16+L17)</f>
        <v>27595.95</v>
      </c>
      <c r="N17" s="20" t="s">
        <v>152</v>
      </c>
      <c r="O17" s="2">
        <f>4+2+4+3+4+3</f>
        <v>20</v>
      </c>
      <c r="P17" s="7">
        <f t="shared" si="0"/>
        <v>0</v>
      </c>
      <c r="Q17" s="15" t="s">
        <v>151</v>
      </c>
      <c r="R17" s="15"/>
    </row>
    <row r="18" spans="1:18" customFormat="1" ht="44.5" customHeight="1" x14ac:dyDescent="0.35">
      <c r="A18" s="27">
        <v>44016</v>
      </c>
      <c r="B18" s="26">
        <f t="shared" si="3"/>
        <v>7</v>
      </c>
      <c r="C18" s="11">
        <f t="shared" si="1"/>
        <v>2020</v>
      </c>
      <c r="D18" s="27" t="s">
        <v>75</v>
      </c>
      <c r="E18" s="24" t="s">
        <v>10</v>
      </c>
      <c r="F18" s="39" t="s">
        <v>19</v>
      </c>
      <c r="G18" s="40" t="s">
        <v>19</v>
      </c>
      <c r="H18" s="37" t="s">
        <v>47</v>
      </c>
      <c r="I18" s="12">
        <v>20</v>
      </c>
      <c r="J18" s="2" t="s">
        <v>25</v>
      </c>
      <c r="K18" s="9">
        <v>77.5</v>
      </c>
      <c r="L18" s="60">
        <f t="shared" si="6"/>
        <v>1550</v>
      </c>
      <c r="M18" s="8">
        <f t="shared" si="7"/>
        <v>29145.95</v>
      </c>
      <c r="N18" s="20" t="s">
        <v>103</v>
      </c>
      <c r="O18" s="2">
        <f>3+4+4+2+4+3</f>
        <v>20</v>
      </c>
      <c r="P18" s="7">
        <f t="shared" si="0"/>
        <v>0</v>
      </c>
      <c r="Q18" s="15" t="s">
        <v>102</v>
      </c>
      <c r="R18" s="15"/>
    </row>
    <row r="19" spans="1:18" customFormat="1" ht="58" x14ac:dyDescent="0.35">
      <c r="A19" s="27">
        <v>44016</v>
      </c>
      <c r="B19" s="26">
        <f t="shared" si="3"/>
        <v>7</v>
      </c>
      <c r="C19" s="11">
        <f t="shared" si="1"/>
        <v>2020</v>
      </c>
      <c r="D19" s="27" t="s">
        <v>75</v>
      </c>
      <c r="E19" s="24" t="s">
        <v>10</v>
      </c>
      <c r="F19" s="39" t="s">
        <v>28</v>
      </c>
      <c r="G19" s="41" t="s">
        <v>28</v>
      </c>
      <c r="H19" s="35" t="s">
        <v>47</v>
      </c>
      <c r="I19" s="12">
        <v>40</v>
      </c>
      <c r="J19" t="s">
        <v>30</v>
      </c>
      <c r="K19" s="9">
        <v>17.5</v>
      </c>
      <c r="L19" s="60">
        <f t="shared" si="6"/>
        <v>700</v>
      </c>
      <c r="M19" s="8">
        <f t="shared" si="7"/>
        <v>29845.95</v>
      </c>
      <c r="N19" s="20" t="s">
        <v>203</v>
      </c>
      <c r="O19" s="2">
        <f>4+5+5+8+5+5+3+5</f>
        <v>40</v>
      </c>
      <c r="P19" s="7">
        <f t="shared" si="0"/>
        <v>0</v>
      </c>
      <c r="Q19" s="15" t="s">
        <v>204</v>
      </c>
      <c r="R19" s="15"/>
    </row>
    <row r="20" spans="1:18" customFormat="1" ht="58" x14ac:dyDescent="0.35">
      <c r="A20" s="27">
        <v>44020</v>
      </c>
      <c r="B20" s="26">
        <f t="shared" si="3"/>
        <v>7</v>
      </c>
      <c r="C20" s="11">
        <f t="shared" si="1"/>
        <v>2020</v>
      </c>
      <c r="D20" s="27" t="s">
        <v>76</v>
      </c>
      <c r="E20" s="24" t="s">
        <v>10</v>
      </c>
      <c r="F20" s="39" t="s">
        <v>29</v>
      </c>
      <c r="G20" s="40" t="s">
        <v>29</v>
      </c>
      <c r="H20" s="37" t="s">
        <v>47</v>
      </c>
      <c r="I20" s="12">
        <v>8</v>
      </c>
      <c r="J20" t="s">
        <v>0</v>
      </c>
      <c r="K20" s="9">
        <v>1155</v>
      </c>
      <c r="L20" s="60">
        <f t="shared" si="6"/>
        <v>9240</v>
      </c>
      <c r="M20" s="8">
        <f t="shared" si="7"/>
        <v>39085.949999999997</v>
      </c>
      <c r="N20" s="14" t="s">
        <v>57</v>
      </c>
      <c r="O20" s="2">
        <f>1+1+2+1+1+1+1</f>
        <v>8</v>
      </c>
      <c r="P20" s="7">
        <f t="shared" si="0"/>
        <v>0</v>
      </c>
      <c r="Q20" s="15" t="s">
        <v>56</v>
      </c>
      <c r="R20" s="15"/>
    </row>
    <row r="21" spans="1:18" customFormat="1" ht="29" x14ac:dyDescent="0.35">
      <c r="A21" s="27">
        <v>44020</v>
      </c>
      <c r="B21" s="26">
        <f t="shared" si="3"/>
        <v>7</v>
      </c>
      <c r="C21" s="11">
        <f t="shared" si="1"/>
        <v>2020</v>
      </c>
      <c r="D21" s="27" t="s">
        <v>76</v>
      </c>
      <c r="E21" s="24" t="s">
        <v>10</v>
      </c>
      <c r="F21" s="39" t="s">
        <v>31</v>
      </c>
      <c r="G21" s="40" t="s">
        <v>31</v>
      </c>
      <c r="H21" s="37" t="s">
        <v>47</v>
      </c>
      <c r="I21" s="12">
        <v>2</v>
      </c>
      <c r="J21" t="s">
        <v>0</v>
      </c>
      <c r="K21" s="9">
        <v>1155</v>
      </c>
      <c r="L21" s="60">
        <f t="shared" si="6"/>
        <v>2310</v>
      </c>
      <c r="M21" s="8">
        <f t="shared" si="7"/>
        <v>41395.949999999997</v>
      </c>
      <c r="N21" s="14" t="s">
        <v>68</v>
      </c>
      <c r="O21" s="2">
        <f>1+1</f>
        <v>2</v>
      </c>
      <c r="P21" s="7">
        <f t="shared" si="0"/>
        <v>0</v>
      </c>
      <c r="Q21" s="15" t="s">
        <v>69</v>
      </c>
      <c r="R21" s="15"/>
    </row>
    <row r="22" spans="1:18" customFormat="1" ht="29" x14ac:dyDescent="0.35">
      <c r="A22" s="27">
        <v>44020</v>
      </c>
      <c r="B22" s="26">
        <f t="shared" si="3"/>
        <v>7</v>
      </c>
      <c r="C22" s="11">
        <f t="shared" si="1"/>
        <v>2020</v>
      </c>
      <c r="D22" s="27" t="s">
        <v>77</v>
      </c>
      <c r="E22" s="24" t="s">
        <v>10</v>
      </c>
      <c r="F22" s="30" t="s">
        <v>14</v>
      </c>
      <c r="G22" s="31" t="s">
        <v>14</v>
      </c>
      <c r="H22" s="37" t="s">
        <v>47</v>
      </c>
      <c r="I22" s="12">
        <v>2</v>
      </c>
      <c r="J22" t="s">
        <v>0</v>
      </c>
      <c r="K22" s="9">
        <v>1181.25</v>
      </c>
      <c r="L22" s="60">
        <f t="shared" si="6"/>
        <v>2362.5</v>
      </c>
      <c r="M22" s="8">
        <f t="shared" si="7"/>
        <v>43758.45</v>
      </c>
      <c r="N22" s="14" t="s">
        <v>295</v>
      </c>
      <c r="O22" s="2">
        <v>2</v>
      </c>
      <c r="P22" s="7">
        <f t="shared" si="0"/>
        <v>0</v>
      </c>
      <c r="Q22" s="15" t="s">
        <v>296</v>
      </c>
      <c r="R22" s="15" t="s">
        <v>88</v>
      </c>
    </row>
    <row r="23" spans="1:18" customFormat="1" ht="29" x14ac:dyDescent="0.35">
      <c r="A23" s="27">
        <v>44020</v>
      </c>
      <c r="B23" s="26">
        <f t="shared" si="3"/>
        <v>7</v>
      </c>
      <c r="C23" s="11">
        <f t="shared" si="1"/>
        <v>2020</v>
      </c>
      <c r="D23" s="27" t="s">
        <v>77</v>
      </c>
      <c r="E23" s="24" t="s">
        <v>10</v>
      </c>
      <c r="F23" s="30" t="s">
        <v>15</v>
      </c>
      <c r="G23" s="31" t="s">
        <v>15</v>
      </c>
      <c r="H23" s="37" t="s">
        <v>47</v>
      </c>
      <c r="I23" s="12">
        <v>1</v>
      </c>
      <c r="J23" t="s">
        <v>0</v>
      </c>
      <c r="K23" s="9">
        <v>1181.25</v>
      </c>
      <c r="L23" s="60">
        <f t="shared" si="6"/>
        <v>1181.25</v>
      </c>
      <c r="M23" s="8">
        <f t="shared" si="7"/>
        <v>44939.7</v>
      </c>
      <c r="N23" s="14" t="s">
        <v>295</v>
      </c>
      <c r="O23" s="2">
        <v>1</v>
      </c>
      <c r="P23" s="7">
        <f t="shared" si="0"/>
        <v>0</v>
      </c>
      <c r="Q23" s="15" t="s">
        <v>297</v>
      </c>
      <c r="R23" s="15" t="s">
        <v>87</v>
      </c>
    </row>
    <row r="24" spans="1:18" customFormat="1" ht="29" x14ac:dyDescent="0.35">
      <c r="A24" s="27">
        <v>44020</v>
      </c>
      <c r="B24" s="26">
        <f t="shared" si="3"/>
        <v>7</v>
      </c>
      <c r="C24" s="11">
        <f t="shared" si="1"/>
        <v>2020</v>
      </c>
      <c r="D24" s="27" t="s">
        <v>77</v>
      </c>
      <c r="E24" s="24" t="s">
        <v>10</v>
      </c>
      <c r="F24" s="30" t="s">
        <v>16</v>
      </c>
      <c r="G24" s="31" t="s">
        <v>16</v>
      </c>
      <c r="H24" s="35" t="s">
        <v>47</v>
      </c>
      <c r="I24" s="12">
        <v>10</v>
      </c>
      <c r="J24" t="s">
        <v>18</v>
      </c>
      <c r="K24" s="9">
        <v>172</v>
      </c>
      <c r="L24" s="60">
        <f t="shared" si="6"/>
        <v>1720</v>
      </c>
      <c r="M24" s="8">
        <f t="shared" si="7"/>
        <v>46659.7</v>
      </c>
      <c r="N24" s="20" t="s">
        <v>169</v>
      </c>
      <c r="O24" s="2">
        <f>4+4+2</f>
        <v>10</v>
      </c>
      <c r="P24" s="7">
        <f t="shared" si="0"/>
        <v>0</v>
      </c>
      <c r="Q24" s="15" t="s">
        <v>170</v>
      </c>
      <c r="R24" s="15"/>
    </row>
    <row r="25" spans="1:18" customFormat="1" x14ac:dyDescent="0.35">
      <c r="A25" s="27">
        <v>44026</v>
      </c>
      <c r="B25" s="26">
        <f t="shared" si="3"/>
        <v>7</v>
      </c>
      <c r="C25" s="11">
        <f t="shared" si="1"/>
        <v>2020</v>
      </c>
      <c r="D25" s="27" t="s">
        <v>78</v>
      </c>
      <c r="E25" s="24" t="s">
        <v>10</v>
      </c>
      <c r="F25" s="39" t="s">
        <v>33</v>
      </c>
      <c r="G25" s="40" t="s">
        <v>33</v>
      </c>
      <c r="H25" s="37" t="s">
        <v>51</v>
      </c>
      <c r="I25" s="12">
        <v>1</v>
      </c>
      <c r="J25" s="4" t="s">
        <v>18</v>
      </c>
      <c r="K25" s="9">
        <v>825</v>
      </c>
      <c r="L25" s="60">
        <f t="shared" si="6"/>
        <v>825</v>
      </c>
      <c r="M25" s="8">
        <f t="shared" si="7"/>
        <v>47484.7</v>
      </c>
      <c r="N25" s="18" t="s">
        <v>44</v>
      </c>
      <c r="O25" s="2">
        <v>1</v>
      </c>
      <c r="P25" s="7">
        <f t="shared" si="0"/>
        <v>0</v>
      </c>
      <c r="Q25" s="15" t="s">
        <v>34</v>
      </c>
      <c r="R25" s="15"/>
    </row>
    <row r="26" spans="1:18" customFormat="1" ht="29" x14ac:dyDescent="0.35">
      <c r="A26" s="27">
        <v>44034</v>
      </c>
      <c r="B26" s="26">
        <f t="shared" si="3"/>
        <v>7</v>
      </c>
      <c r="C26" s="11">
        <f t="shared" si="1"/>
        <v>2020</v>
      </c>
      <c r="D26" s="27" t="s">
        <v>108</v>
      </c>
      <c r="E26" s="24" t="s">
        <v>36</v>
      </c>
      <c r="F26" s="39" t="s">
        <v>37</v>
      </c>
      <c r="G26" s="40" t="s">
        <v>37</v>
      </c>
      <c r="H26" s="37" t="s">
        <v>51</v>
      </c>
      <c r="I26" s="12">
        <v>1</v>
      </c>
      <c r="J26" s="4" t="s">
        <v>1</v>
      </c>
      <c r="K26" s="9">
        <v>180</v>
      </c>
      <c r="L26" s="60">
        <f t="shared" si="6"/>
        <v>180</v>
      </c>
      <c r="M26" s="8">
        <f t="shared" si="7"/>
        <v>47664.7</v>
      </c>
      <c r="N26" s="21" t="s">
        <v>45</v>
      </c>
      <c r="O26" s="2">
        <v>1</v>
      </c>
      <c r="P26" s="7">
        <f t="shared" si="0"/>
        <v>0</v>
      </c>
      <c r="Q26" s="15" t="s">
        <v>35</v>
      </c>
      <c r="R26" s="15"/>
    </row>
    <row r="27" spans="1:18" customFormat="1" ht="29" x14ac:dyDescent="0.35">
      <c r="A27" s="27">
        <v>44055</v>
      </c>
      <c r="B27" s="26">
        <f t="shared" si="3"/>
        <v>8</v>
      </c>
      <c r="C27" s="11">
        <f t="shared" si="1"/>
        <v>2020</v>
      </c>
      <c r="D27" s="27" t="s">
        <v>109</v>
      </c>
      <c r="E27" s="24" t="s">
        <v>36</v>
      </c>
      <c r="F27" s="39" t="s">
        <v>37</v>
      </c>
      <c r="G27" s="40" t="s">
        <v>37</v>
      </c>
      <c r="H27" s="37" t="s">
        <v>51</v>
      </c>
      <c r="I27" s="12">
        <v>2</v>
      </c>
      <c r="J27" s="4" t="s">
        <v>1</v>
      </c>
      <c r="K27" s="9">
        <v>180</v>
      </c>
      <c r="L27" s="60">
        <f t="shared" si="6"/>
        <v>360</v>
      </c>
      <c r="M27" s="8">
        <f t="shared" si="7"/>
        <v>48024.7</v>
      </c>
      <c r="N27" s="21" t="s">
        <v>48</v>
      </c>
      <c r="O27" s="2">
        <v>2</v>
      </c>
      <c r="P27" s="7">
        <f t="shared" si="0"/>
        <v>0</v>
      </c>
      <c r="Q27" s="15" t="s">
        <v>54</v>
      </c>
      <c r="R27" s="15"/>
    </row>
    <row r="28" spans="1:18" customFormat="1" ht="29" x14ac:dyDescent="0.35">
      <c r="A28" s="27">
        <v>44056</v>
      </c>
      <c r="B28" s="26">
        <f t="shared" si="3"/>
        <v>8</v>
      </c>
      <c r="C28" s="11">
        <f t="shared" si="1"/>
        <v>2020</v>
      </c>
      <c r="D28" s="27" t="s">
        <v>326</v>
      </c>
      <c r="E28" s="24" t="s">
        <v>10</v>
      </c>
      <c r="F28" s="39" t="s">
        <v>17</v>
      </c>
      <c r="G28" s="40" t="s">
        <v>17</v>
      </c>
      <c r="H28" s="37" t="s">
        <v>47</v>
      </c>
      <c r="I28" s="12">
        <v>4</v>
      </c>
      <c r="J28" s="4" t="s">
        <v>18</v>
      </c>
      <c r="K28" s="9">
        <v>176</v>
      </c>
      <c r="L28" s="60">
        <f t="shared" si="6"/>
        <v>704</v>
      </c>
      <c r="M28" s="8">
        <f t="shared" si="7"/>
        <v>48728.7</v>
      </c>
      <c r="N28" s="22" t="s">
        <v>48</v>
      </c>
      <c r="O28" s="2">
        <v>4</v>
      </c>
      <c r="P28" s="7">
        <f t="shared" si="0"/>
        <v>0</v>
      </c>
      <c r="Q28" s="15" t="s">
        <v>49</v>
      </c>
      <c r="R28" s="15"/>
    </row>
    <row r="29" spans="1:18" customFormat="1" ht="43.5" x14ac:dyDescent="0.35">
      <c r="A29" s="27">
        <v>44056</v>
      </c>
      <c r="B29" s="26">
        <f t="shared" si="3"/>
        <v>8</v>
      </c>
      <c r="C29" s="11">
        <f t="shared" si="1"/>
        <v>2020</v>
      </c>
      <c r="D29" s="27" t="s">
        <v>404</v>
      </c>
      <c r="E29" s="24" t="s">
        <v>10</v>
      </c>
      <c r="F29" s="39" t="s">
        <v>50</v>
      </c>
      <c r="G29" s="40" t="s">
        <v>180</v>
      </c>
      <c r="H29" s="37" t="s">
        <v>47</v>
      </c>
      <c r="I29" s="12">
        <v>4</v>
      </c>
      <c r="J29" s="4" t="s">
        <v>1</v>
      </c>
      <c r="K29" s="9">
        <v>253.69</v>
      </c>
      <c r="L29" s="60">
        <v>1015.2</v>
      </c>
      <c r="M29" s="8">
        <f t="shared" si="7"/>
        <v>49743.899999999994</v>
      </c>
      <c r="N29" s="22" t="s">
        <v>99</v>
      </c>
      <c r="O29" s="2">
        <f>3+1</f>
        <v>4</v>
      </c>
      <c r="P29" s="7">
        <f t="shared" si="0"/>
        <v>0</v>
      </c>
      <c r="Q29" s="15" t="s">
        <v>97</v>
      </c>
      <c r="R29" s="15" t="s">
        <v>73</v>
      </c>
    </row>
    <row r="30" spans="1:18" customFormat="1" ht="29" x14ac:dyDescent="0.35">
      <c r="A30" s="27">
        <v>44056</v>
      </c>
      <c r="B30" s="26">
        <f t="shared" si="3"/>
        <v>8</v>
      </c>
      <c r="C30" s="11">
        <f t="shared" si="1"/>
        <v>2020</v>
      </c>
      <c r="D30" s="27" t="s">
        <v>79</v>
      </c>
      <c r="E30" s="24" t="s">
        <v>10</v>
      </c>
      <c r="F30" s="39" t="s">
        <v>29</v>
      </c>
      <c r="G30" s="40" t="s">
        <v>29</v>
      </c>
      <c r="H30" s="37" t="s">
        <v>47</v>
      </c>
      <c r="I30" s="12">
        <v>5</v>
      </c>
      <c r="J30" s="4" t="s">
        <v>0</v>
      </c>
      <c r="K30" s="9">
        <v>1155</v>
      </c>
      <c r="L30" s="60">
        <f t="shared" si="6"/>
        <v>5775</v>
      </c>
      <c r="M30" s="8">
        <f t="shared" si="7"/>
        <v>55518.899999999994</v>
      </c>
      <c r="N30" s="22" t="s">
        <v>59</v>
      </c>
      <c r="O30" s="2">
        <f>1+1+3</f>
        <v>5</v>
      </c>
      <c r="P30" s="7">
        <f t="shared" si="0"/>
        <v>0</v>
      </c>
      <c r="Q30" s="15" t="s">
        <v>60</v>
      </c>
      <c r="R30" s="15"/>
    </row>
    <row r="31" spans="1:18" customFormat="1" ht="29" x14ac:dyDescent="0.35">
      <c r="A31" s="27">
        <v>44065</v>
      </c>
      <c r="B31" s="26">
        <f t="shared" si="3"/>
        <v>8</v>
      </c>
      <c r="C31" s="11">
        <f t="shared" si="1"/>
        <v>2020</v>
      </c>
      <c r="D31" s="27" t="s">
        <v>80</v>
      </c>
      <c r="E31" s="24" t="s">
        <v>10</v>
      </c>
      <c r="F31" s="39" t="s">
        <v>55</v>
      </c>
      <c r="G31" s="40" t="s">
        <v>55</v>
      </c>
      <c r="H31" s="37" t="s">
        <v>51</v>
      </c>
      <c r="I31" s="12">
        <v>2</v>
      </c>
      <c r="J31" s="4" t="s">
        <v>18</v>
      </c>
      <c r="K31" s="9">
        <v>172</v>
      </c>
      <c r="L31" s="60">
        <f t="shared" si="6"/>
        <v>344</v>
      </c>
      <c r="M31" s="8">
        <f t="shared" si="7"/>
        <v>55862.899999999994</v>
      </c>
      <c r="N31" s="25" t="s">
        <v>53</v>
      </c>
      <c r="O31" s="2">
        <v>2</v>
      </c>
      <c r="P31" s="7">
        <f t="shared" si="0"/>
        <v>0</v>
      </c>
      <c r="Q31" s="15" t="s">
        <v>52</v>
      </c>
      <c r="R31" s="15"/>
    </row>
    <row r="32" spans="1:18" customFormat="1" x14ac:dyDescent="0.35">
      <c r="A32" s="27">
        <v>44070</v>
      </c>
      <c r="B32" s="26">
        <f t="shared" si="3"/>
        <v>8</v>
      </c>
      <c r="C32" s="11">
        <f t="shared" si="1"/>
        <v>2020</v>
      </c>
      <c r="D32" s="27" t="s">
        <v>82</v>
      </c>
      <c r="E32" s="24" t="s">
        <v>10</v>
      </c>
      <c r="F32" s="39" t="s">
        <v>29</v>
      </c>
      <c r="G32" s="40" t="s">
        <v>29</v>
      </c>
      <c r="H32" s="23" t="s">
        <v>47</v>
      </c>
      <c r="I32" s="12">
        <v>5</v>
      </c>
      <c r="J32" t="s">
        <v>0</v>
      </c>
      <c r="K32" s="9">
        <v>1155</v>
      </c>
      <c r="L32" s="60">
        <f t="shared" si="6"/>
        <v>5775</v>
      </c>
      <c r="M32" s="8">
        <f t="shared" si="7"/>
        <v>61637.899999999994</v>
      </c>
      <c r="N32" s="22" t="s">
        <v>72</v>
      </c>
      <c r="O32" s="2">
        <f>1+4</f>
        <v>5</v>
      </c>
      <c r="P32" s="7">
        <f t="shared" si="0"/>
        <v>0</v>
      </c>
      <c r="Q32" s="15" t="s">
        <v>67</v>
      </c>
      <c r="R32" s="15"/>
    </row>
    <row r="33" spans="1:18" customFormat="1" x14ac:dyDescent="0.35">
      <c r="A33" s="27">
        <v>44070</v>
      </c>
      <c r="B33" s="26">
        <f t="shared" si="3"/>
        <v>8</v>
      </c>
      <c r="C33" s="11">
        <f t="shared" si="1"/>
        <v>2020</v>
      </c>
      <c r="D33" s="27" t="s">
        <v>82</v>
      </c>
      <c r="E33" s="24" t="s">
        <v>10</v>
      </c>
      <c r="F33" s="39" t="s">
        <v>63</v>
      </c>
      <c r="G33" s="40" t="s">
        <v>63</v>
      </c>
      <c r="H33" s="23" t="s">
        <v>47</v>
      </c>
      <c r="I33" s="12">
        <v>1</v>
      </c>
      <c r="J33" t="s">
        <v>18</v>
      </c>
      <c r="K33" s="9">
        <v>345</v>
      </c>
      <c r="L33" s="60">
        <f t="shared" si="6"/>
        <v>345</v>
      </c>
      <c r="M33" s="8">
        <f t="shared" si="7"/>
        <v>61982.899999999994</v>
      </c>
      <c r="N33" s="22" t="s">
        <v>61</v>
      </c>
      <c r="O33" s="2">
        <v>1</v>
      </c>
      <c r="P33" s="7">
        <f t="shared" si="0"/>
        <v>0</v>
      </c>
      <c r="Q33" s="15" t="s">
        <v>62</v>
      </c>
      <c r="R33" s="15"/>
    </row>
    <row r="34" spans="1:18" customFormat="1" ht="59" customHeight="1" x14ac:dyDescent="0.35">
      <c r="A34" s="27">
        <v>44070</v>
      </c>
      <c r="B34" s="26">
        <f t="shared" si="3"/>
        <v>8</v>
      </c>
      <c r="C34" s="11">
        <f t="shared" si="1"/>
        <v>2020</v>
      </c>
      <c r="D34" s="27" t="s">
        <v>81</v>
      </c>
      <c r="E34" s="24" t="s">
        <v>10</v>
      </c>
      <c r="F34" s="39" t="s">
        <v>64</v>
      </c>
      <c r="G34" s="40" t="s">
        <v>64</v>
      </c>
      <c r="H34" s="23" t="s">
        <v>47</v>
      </c>
      <c r="I34" s="12">
        <v>10</v>
      </c>
      <c r="J34" t="s">
        <v>0</v>
      </c>
      <c r="K34" s="9">
        <v>1155</v>
      </c>
      <c r="L34" s="60">
        <f t="shared" si="6"/>
        <v>11550</v>
      </c>
      <c r="M34" s="8">
        <f t="shared" si="7"/>
        <v>73532.899999999994</v>
      </c>
      <c r="N34" s="22" t="s">
        <v>136</v>
      </c>
      <c r="O34" s="2">
        <f>2+1+1+1+3+1+1</f>
        <v>10</v>
      </c>
      <c r="P34" s="7">
        <f t="shared" si="0"/>
        <v>0</v>
      </c>
      <c r="Q34" s="15" t="s">
        <v>135</v>
      </c>
      <c r="R34" s="15"/>
    </row>
    <row r="35" spans="1:18" customFormat="1" x14ac:dyDescent="0.35">
      <c r="A35" s="27">
        <v>44076</v>
      </c>
      <c r="B35" s="26">
        <f t="shared" si="3"/>
        <v>9</v>
      </c>
      <c r="C35" s="11">
        <f t="shared" si="1"/>
        <v>2020</v>
      </c>
      <c r="D35" s="27" t="s">
        <v>83</v>
      </c>
      <c r="E35" s="24" t="s">
        <v>10</v>
      </c>
      <c r="F35" s="39" t="s">
        <v>33</v>
      </c>
      <c r="G35" s="40" t="s">
        <v>33</v>
      </c>
      <c r="H35" s="23" t="s">
        <v>51</v>
      </c>
      <c r="I35" s="12">
        <v>1</v>
      </c>
      <c r="J35" t="s">
        <v>18</v>
      </c>
      <c r="K35" s="9">
        <v>900</v>
      </c>
      <c r="L35" s="60">
        <f t="shared" si="6"/>
        <v>900</v>
      </c>
      <c r="M35" s="8">
        <f t="shared" si="7"/>
        <v>74432.899999999994</v>
      </c>
      <c r="N35" s="22" t="s">
        <v>65</v>
      </c>
      <c r="O35" s="2">
        <v>1</v>
      </c>
      <c r="P35" s="7">
        <f t="shared" si="0"/>
        <v>0</v>
      </c>
      <c r="Q35" s="15" t="s">
        <v>66</v>
      </c>
      <c r="R35" s="15"/>
    </row>
    <row r="36" spans="1:18" customFormat="1" ht="30" customHeight="1" x14ac:dyDescent="0.35">
      <c r="A36" s="27">
        <v>44082</v>
      </c>
      <c r="B36" s="26">
        <f t="shared" si="3"/>
        <v>9</v>
      </c>
      <c r="C36" s="11">
        <f t="shared" si="1"/>
        <v>2020</v>
      </c>
      <c r="D36" s="27" t="s">
        <v>107</v>
      </c>
      <c r="E36" s="24" t="s">
        <v>10</v>
      </c>
      <c r="F36" s="39" t="s">
        <v>16</v>
      </c>
      <c r="G36" s="40" t="s">
        <v>16</v>
      </c>
      <c r="H36" s="23" t="s">
        <v>47</v>
      </c>
      <c r="I36" s="12">
        <v>20</v>
      </c>
      <c r="J36" t="s">
        <v>18</v>
      </c>
      <c r="K36" s="9">
        <v>168</v>
      </c>
      <c r="L36" s="60">
        <f t="shared" si="6"/>
        <v>3360</v>
      </c>
      <c r="M36" s="8">
        <f t="shared" si="7"/>
        <v>77792.899999999994</v>
      </c>
      <c r="N36" s="22" t="s">
        <v>117</v>
      </c>
      <c r="O36" s="2">
        <f>4+10+6</f>
        <v>20</v>
      </c>
      <c r="P36" s="7">
        <f t="shared" si="0"/>
        <v>0</v>
      </c>
      <c r="Q36" s="15" t="s">
        <v>172</v>
      </c>
      <c r="R36" s="15"/>
    </row>
    <row r="37" spans="1:18" customFormat="1" ht="43.5" x14ac:dyDescent="0.35">
      <c r="A37" s="27">
        <v>44082</v>
      </c>
      <c r="B37" s="26">
        <f t="shared" si="3"/>
        <v>9</v>
      </c>
      <c r="C37" s="11">
        <f t="shared" si="1"/>
        <v>2020</v>
      </c>
      <c r="D37" s="27" t="s">
        <v>107</v>
      </c>
      <c r="E37" s="24" t="s">
        <v>10</v>
      </c>
      <c r="F37" s="39" t="s">
        <v>19</v>
      </c>
      <c r="G37" s="40" t="s">
        <v>19</v>
      </c>
      <c r="H37" s="23" t="s">
        <v>47</v>
      </c>
      <c r="I37" s="12">
        <v>20</v>
      </c>
      <c r="J37" t="s">
        <v>25</v>
      </c>
      <c r="K37" s="9">
        <v>77.5</v>
      </c>
      <c r="L37" s="60">
        <f t="shared" si="6"/>
        <v>1550</v>
      </c>
      <c r="M37" s="8">
        <f t="shared" si="7"/>
        <v>79342.899999999994</v>
      </c>
      <c r="N37" s="22" t="s">
        <v>149</v>
      </c>
      <c r="O37" s="2">
        <f>1+6+2+8+1+2</f>
        <v>20</v>
      </c>
      <c r="P37" s="7">
        <f t="shared" si="0"/>
        <v>0</v>
      </c>
      <c r="Q37" s="15" t="s">
        <v>150</v>
      </c>
      <c r="R37" s="15"/>
    </row>
    <row r="38" spans="1:18" customFormat="1" x14ac:dyDescent="0.35">
      <c r="A38" s="27">
        <v>44091</v>
      </c>
      <c r="B38" s="26">
        <f t="shared" si="3"/>
        <v>9</v>
      </c>
      <c r="C38" s="11">
        <f t="shared" si="1"/>
        <v>2020</v>
      </c>
      <c r="D38" s="27" t="s">
        <v>106</v>
      </c>
      <c r="E38" s="24" t="s">
        <v>10</v>
      </c>
      <c r="F38" s="39" t="s">
        <v>29</v>
      </c>
      <c r="G38" s="40" t="s">
        <v>29</v>
      </c>
      <c r="H38" s="23" t="s">
        <v>47</v>
      </c>
      <c r="I38" s="12">
        <v>5</v>
      </c>
      <c r="J38" t="s">
        <v>0</v>
      </c>
      <c r="K38" s="9">
        <v>1122</v>
      </c>
      <c r="L38" s="60">
        <f t="shared" si="6"/>
        <v>5610</v>
      </c>
      <c r="M38" s="8">
        <f t="shared" si="7"/>
        <v>84952.9</v>
      </c>
      <c r="N38" s="22" t="s">
        <v>98</v>
      </c>
      <c r="O38" s="2">
        <f>1+4</f>
        <v>5</v>
      </c>
      <c r="P38" s="7">
        <f t="shared" ref="P38:P72" si="8">I38-O38</f>
        <v>0</v>
      </c>
      <c r="Q38" s="15" t="s">
        <v>96</v>
      </c>
      <c r="R38" s="15"/>
    </row>
    <row r="39" spans="1:18" customFormat="1" x14ac:dyDescent="0.35">
      <c r="A39" s="27">
        <v>44091</v>
      </c>
      <c r="B39" s="26">
        <f t="shared" si="3"/>
        <v>9</v>
      </c>
      <c r="C39" s="11">
        <f t="shared" si="1"/>
        <v>2020</v>
      </c>
      <c r="D39" s="27" t="s">
        <v>106</v>
      </c>
      <c r="E39" s="24" t="s">
        <v>10</v>
      </c>
      <c r="F39" s="39" t="s">
        <v>265</v>
      </c>
      <c r="G39" s="40" t="s">
        <v>265</v>
      </c>
      <c r="H39" s="23" t="s">
        <v>47</v>
      </c>
      <c r="I39" s="12">
        <v>1</v>
      </c>
      <c r="J39" t="s">
        <v>215</v>
      </c>
      <c r="K39" s="9">
        <v>300</v>
      </c>
      <c r="L39" s="60">
        <f t="shared" si="6"/>
        <v>300</v>
      </c>
      <c r="M39" s="8">
        <f t="shared" si="7"/>
        <v>85252.9</v>
      </c>
      <c r="N39" s="22" t="s">
        <v>70</v>
      </c>
      <c r="O39" s="2">
        <v>1</v>
      </c>
      <c r="P39" s="7">
        <f t="shared" si="8"/>
        <v>0</v>
      </c>
      <c r="Q39" s="15" t="s">
        <v>71</v>
      </c>
      <c r="R39" s="15"/>
    </row>
    <row r="40" spans="1:18" customFormat="1" ht="29" x14ac:dyDescent="0.35">
      <c r="A40" s="27">
        <v>44097</v>
      </c>
      <c r="B40" s="26">
        <f t="shared" si="3"/>
        <v>9</v>
      </c>
      <c r="C40" s="11">
        <f t="shared" si="1"/>
        <v>2020</v>
      </c>
      <c r="D40" s="12" t="s">
        <v>85</v>
      </c>
      <c r="E40" s="24" t="s">
        <v>10</v>
      </c>
      <c r="F40" s="39" t="s">
        <v>29</v>
      </c>
      <c r="G40" s="40" t="s">
        <v>29</v>
      </c>
      <c r="H40" s="23" t="s">
        <v>47</v>
      </c>
      <c r="I40" s="12">
        <v>10</v>
      </c>
      <c r="J40" t="s">
        <v>0</v>
      </c>
      <c r="K40" s="9">
        <v>1111</v>
      </c>
      <c r="L40" s="60">
        <f t="shared" si="6"/>
        <v>11110</v>
      </c>
      <c r="M40" s="8">
        <f t="shared" si="7"/>
        <v>96362.9</v>
      </c>
      <c r="N40" s="22" t="s">
        <v>115</v>
      </c>
      <c r="O40" s="2">
        <f>1+5+1+3</f>
        <v>10</v>
      </c>
      <c r="P40" s="7">
        <f t="shared" si="8"/>
        <v>0</v>
      </c>
      <c r="Q40" s="15" t="s">
        <v>114</v>
      </c>
      <c r="R40" s="15"/>
    </row>
    <row r="41" spans="1:18" customFormat="1" ht="29" x14ac:dyDescent="0.35">
      <c r="A41" s="27">
        <v>44097</v>
      </c>
      <c r="B41" s="26">
        <f t="shared" si="3"/>
        <v>9</v>
      </c>
      <c r="C41" s="11">
        <f t="shared" si="1"/>
        <v>2020</v>
      </c>
      <c r="D41" s="12" t="s">
        <v>85</v>
      </c>
      <c r="E41" s="24" t="s">
        <v>10</v>
      </c>
      <c r="F41" s="39" t="s">
        <v>31</v>
      </c>
      <c r="G41" s="40" t="s">
        <v>31</v>
      </c>
      <c r="H41" s="23" t="s">
        <v>47</v>
      </c>
      <c r="I41" s="12">
        <v>2</v>
      </c>
      <c r="J41" t="s">
        <v>0</v>
      </c>
      <c r="K41" s="9">
        <v>1111</v>
      </c>
      <c r="L41" s="60">
        <f t="shared" si="6"/>
        <v>2222</v>
      </c>
      <c r="M41" s="8">
        <f t="shared" si="7"/>
        <v>98584.9</v>
      </c>
      <c r="N41" s="22" t="s">
        <v>116</v>
      </c>
      <c r="O41" s="2">
        <f>1+1</f>
        <v>2</v>
      </c>
      <c r="P41" s="7">
        <f t="shared" si="8"/>
        <v>0</v>
      </c>
      <c r="Q41" s="15" t="s">
        <v>113</v>
      </c>
      <c r="R41" s="15"/>
    </row>
    <row r="42" spans="1:18" customFormat="1" ht="29" x14ac:dyDescent="0.35">
      <c r="A42" s="27">
        <v>44097</v>
      </c>
      <c r="B42" s="26">
        <f t="shared" si="3"/>
        <v>9</v>
      </c>
      <c r="C42" s="11">
        <f t="shared" si="1"/>
        <v>2020</v>
      </c>
      <c r="D42" s="12" t="s">
        <v>85</v>
      </c>
      <c r="E42" s="24" t="s">
        <v>10</v>
      </c>
      <c r="F42" s="30" t="s">
        <v>94</v>
      </c>
      <c r="G42" s="31" t="s">
        <v>177</v>
      </c>
      <c r="H42" s="23" t="s">
        <v>47</v>
      </c>
      <c r="I42" s="12">
        <v>6</v>
      </c>
      <c r="J42" t="s">
        <v>1</v>
      </c>
      <c r="K42" s="9">
        <v>253.8</v>
      </c>
      <c r="L42" s="60">
        <f t="shared" si="6"/>
        <v>1522.8000000000002</v>
      </c>
      <c r="M42" s="8">
        <f t="shared" si="7"/>
        <v>100107.7</v>
      </c>
      <c r="N42" s="21" t="s">
        <v>260</v>
      </c>
      <c r="O42" s="2">
        <f>1+2+2+1</f>
        <v>6</v>
      </c>
      <c r="P42" s="7">
        <f t="shared" si="8"/>
        <v>0</v>
      </c>
      <c r="Q42" s="15" t="s">
        <v>261</v>
      </c>
      <c r="R42" s="15"/>
    </row>
    <row r="43" spans="1:18" customFormat="1" ht="29" x14ac:dyDescent="0.35">
      <c r="A43" s="27">
        <v>44097</v>
      </c>
      <c r="B43" s="26">
        <f t="shared" si="3"/>
        <v>9</v>
      </c>
      <c r="C43" s="11">
        <f t="shared" si="1"/>
        <v>2020</v>
      </c>
      <c r="D43" s="12" t="s">
        <v>85</v>
      </c>
      <c r="E43" s="24" t="s">
        <v>10</v>
      </c>
      <c r="F43" s="39" t="s">
        <v>95</v>
      </c>
      <c r="G43" s="40" t="s">
        <v>180</v>
      </c>
      <c r="H43" s="23" t="s">
        <v>47</v>
      </c>
      <c r="I43" s="12">
        <v>6</v>
      </c>
      <c r="J43" t="s">
        <v>1</v>
      </c>
      <c r="K43" s="9">
        <v>253.8</v>
      </c>
      <c r="L43" s="60">
        <f t="shared" si="6"/>
        <v>1522.8000000000002</v>
      </c>
      <c r="M43" s="8">
        <f t="shared" si="7"/>
        <v>101630.5</v>
      </c>
      <c r="N43" s="21" t="s">
        <v>246</v>
      </c>
      <c r="O43" s="2">
        <f>1+3+1+1</f>
        <v>6</v>
      </c>
      <c r="P43" s="7">
        <f t="shared" si="8"/>
        <v>0</v>
      </c>
      <c r="Q43" s="15" t="s">
        <v>247</v>
      </c>
      <c r="R43" s="15"/>
    </row>
    <row r="44" spans="1:18" customFormat="1" ht="29" x14ac:dyDescent="0.35">
      <c r="A44" s="27">
        <v>44097</v>
      </c>
      <c r="B44" s="26">
        <f t="shared" si="3"/>
        <v>9</v>
      </c>
      <c r="C44" s="11">
        <f t="shared" si="1"/>
        <v>2020</v>
      </c>
      <c r="D44" s="12" t="s">
        <v>85</v>
      </c>
      <c r="E44" s="24" t="s">
        <v>10</v>
      </c>
      <c r="F44" s="39" t="s">
        <v>141</v>
      </c>
      <c r="G44" s="40" t="s">
        <v>141</v>
      </c>
      <c r="H44" s="23" t="s">
        <v>47</v>
      </c>
      <c r="I44" s="12">
        <v>10</v>
      </c>
      <c r="J44" t="s">
        <v>18</v>
      </c>
      <c r="K44" s="9">
        <v>168</v>
      </c>
      <c r="L44" s="60">
        <f t="shared" si="6"/>
        <v>1680</v>
      </c>
      <c r="M44" s="8">
        <f t="shared" si="7"/>
        <v>103310.5</v>
      </c>
      <c r="N44" s="22" t="s">
        <v>173</v>
      </c>
      <c r="O44" s="2">
        <f>4+6</f>
        <v>10</v>
      </c>
      <c r="P44" s="7">
        <f t="shared" si="8"/>
        <v>0</v>
      </c>
      <c r="Q44" s="15" t="s">
        <v>171</v>
      </c>
      <c r="R44" s="15"/>
    </row>
    <row r="45" spans="1:18" customFormat="1" ht="29" x14ac:dyDescent="0.35">
      <c r="A45" s="27">
        <v>44097</v>
      </c>
      <c r="B45" s="26">
        <f t="shared" si="3"/>
        <v>9</v>
      </c>
      <c r="C45" s="11">
        <f t="shared" si="1"/>
        <v>2020</v>
      </c>
      <c r="D45" s="12" t="s">
        <v>110</v>
      </c>
      <c r="E45" s="12" t="s">
        <v>36</v>
      </c>
      <c r="F45" s="39" t="s">
        <v>37</v>
      </c>
      <c r="G45" s="40" t="s">
        <v>37</v>
      </c>
      <c r="H45" s="23" t="s">
        <v>51</v>
      </c>
      <c r="I45" s="12">
        <v>6</v>
      </c>
      <c r="J45" t="s">
        <v>1</v>
      </c>
      <c r="K45" s="9">
        <v>192</v>
      </c>
      <c r="L45" s="60">
        <f t="shared" si="6"/>
        <v>1152</v>
      </c>
      <c r="M45" s="8">
        <f t="shared" si="7"/>
        <v>104462.5</v>
      </c>
      <c r="N45" s="22" t="s">
        <v>86</v>
      </c>
      <c r="O45" s="2">
        <v>6</v>
      </c>
      <c r="P45" s="7">
        <f t="shared" si="8"/>
        <v>0</v>
      </c>
      <c r="Q45" s="15" t="s">
        <v>111</v>
      </c>
      <c r="R45" s="15"/>
    </row>
    <row r="46" spans="1:18" customFormat="1" ht="43.5" x14ac:dyDescent="0.35">
      <c r="A46" s="27">
        <v>44105</v>
      </c>
      <c r="B46" s="26">
        <f t="shared" si="3"/>
        <v>10</v>
      </c>
      <c r="C46" s="11">
        <f t="shared" si="1"/>
        <v>2020</v>
      </c>
      <c r="D46" s="12" t="s">
        <v>148</v>
      </c>
      <c r="E46" s="12" t="s">
        <v>10</v>
      </c>
      <c r="F46" s="30" t="s">
        <v>147</v>
      </c>
      <c r="G46" s="31" t="s">
        <v>176</v>
      </c>
      <c r="H46" s="23" t="s">
        <v>47</v>
      </c>
      <c r="I46" s="12">
        <v>20</v>
      </c>
      <c r="J46" t="s">
        <v>1</v>
      </c>
      <c r="K46" s="9">
        <v>173.9</v>
      </c>
      <c r="L46" s="60">
        <f t="shared" si="6"/>
        <v>3478</v>
      </c>
      <c r="M46" s="8">
        <f t="shared" si="7"/>
        <v>107940.5</v>
      </c>
      <c r="N46" s="22" t="s">
        <v>553</v>
      </c>
      <c r="O46" s="2">
        <f>1+8+2+6+3</f>
        <v>20</v>
      </c>
      <c r="P46" s="7">
        <f t="shared" si="8"/>
        <v>0</v>
      </c>
      <c r="Q46" s="15" t="s">
        <v>554</v>
      </c>
      <c r="R46" s="15"/>
    </row>
    <row r="47" spans="1:18" customFormat="1" ht="58" x14ac:dyDescent="0.35">
      <c r="A47" s="27">
        <v>44105</v>
      </c>
      <c r="B47" s="26">
        <f t="shared" si="3"/>
        <v>10</v>
      </c>
      <c r="C47" s="11">
        <f t="shared" si="1"/>
        <v>2020</v>
      </c>
      <c r="D47" s="12" t="s">
        <v>148</v>
      </c>
      <c r="E47" s="12" t="s">
        <v>10</v>
      </c>
      <c r="F47" s="30" t="s">
        <v>93</v>
      </c>
      <c r="G47" s="31" t="s">
        <v>177</v>
      </c>
      <c r="H47" s="23" t="s">
        <v>47</v>
      </c>
      <c r="I47" s="12">
        <v>20</v>
      </c>
      <c r="J47" t="s">
        <v>1</v>
      </c>
      <c r="K47" s="9">
        <v>253.8</v>
      </c>
      <c r="L47" s="60">
        <f t="shared" si="6"/>
        <v>5076</v>
      </c>
      <c r="M47" s="8">
        <f t="shared" si="7"/>
        <v>113016.5</v>
      </c>
      <c r="N47" s="22" t="s">
        <v>548</v>
      </c>
      <c r="O47" s="2">
        <f>1+3+7+2+4+1+2</f>
        <v>20</v>
      </c>
      <c r="P47" s="7">
        <f t="shared" si="8"/>
        <v>0</v>
      </c>
      <c r="Q47" s="15" t="s">
        <v>695</v>
      </c>
      <c r="R47" s="15"/>
    </row>
    <row r="48" spans="1:18" customFormat="1" ht="58" x14ac:dyDescent="0.35">
      <c r="A48" s="27">
        <v>44105</v>
      </c>
      <c r="B48" s="26">
        <f t="shared" si="3"/>
        <v>10</v>
      </c>
      <c r="C48" s="11">
        <f t="shared" si="1"/>
        <v>2020</v>
      </c>
      <c r="D48" s="12" t="s">
        <v>148</v>
      </c>
      <c r="E48" s="12" t="s">
        <v>10</v>
      </c>
      <c r="F48" s="39" t="s">
        <v>146</v>
      </c>
      <c r="G48" s="40" t="s">
        <v>180</v>
      </c>
      <c r="H48" s="23" t="s">
        <v>47</v>
      </c>
      <c r="I48" s="12">
        <v>15</v>
      </c>
      <c r="J48" t="s">
        <v>1</v>
      </c>
      <c r="K48" s="9">
        <v>253.8</v>
      </c>
      <c r="L48" s="60">
        <f t="shared" si="6"/>
        <v>3807</v>
      </c>
      <c r="M48" s="8">
        <f t="shared" si="7"/>
        <v>116823.5</v>
      </c>
      <c r="N48" s="22" t="s">
        <v>389</v>
      </c>
      <c r="O48" s="2">
        <f>1+1+5+2+4+1+1</f>
        <v>15</v>
      </c>
      <c r="P48" s="7">
        <f t="shared" si="8"/>
        <v>0</v>
      </c>
      <c r="Q48" s="15" t="s">
        <v>726</v>
      </c>
      <c r="R48" s="15"/>
    </row>
    <row r="49" spans="1:18" customFormat="1" ht="14.5" customHeight="1" x14ac:dyDescent="0.35">
      <c r="A49" s="27">
        <v>44109</v>
      </c>
      <c r="B49" s="26">
        <f t="shared" si="3"/>
        <v>10</v>
      </c>
      <c r="C49" s="11">
        <f t="shared" si="1"/>
        <v>2020</v>
      </c>
      <c r="D49" s="12" t="s">
        <v>118</v>
      </c>
      <c r="E49" s="12" t="s">
        <v>10</v>
      </c>
      <c r="F49" s="39" t="s">
        <v>29</v>
      </c>
      <c r="G49" s="40" t="s">
        <v>29</v>
      </c>
      <c r="H49" s="23" t="s">
        <v>47</v>
      </c>
      <c r="I49" s="12">
        <v>10</v>
      </c>
      <c r="J49" t="s">
        <v>0</v>
      </c>
      <c r="K49" s="9">
        <v>1111</v>
      </c>
      <c r="L49" s="60">
        <f t="shared" si="6"/>
        <v>11110</v>
      </c>
      <c r="M49" s="8">
        <f t="shared" si="7"/>
        <v>127933.5</v>
      </c>
      <c r="N49" s="25" t="s">
        <v>145</v>
      </c>
      <c r="O49" s="2">
        <f>2+6+2</f>
        <v>10</v>
      </c>
      <c r="P49" s="7">
        <f t="shared" si="8"/>
        <v>0</v>
      </c>
      <c r="Q49" s="15" t="s">
        <v>144</v>
      </c>
      <c r="R49" s="15"/>
    </row>
    <row r="50" spans="1:18" customFormat="1" ht="29" x14ac:dyDescent="0.35">
      <c r="A50" s="27">
        <v>44113</v>
      </c>
      <c r="B50" s="26">
        <f t="shared" si="3"/>
        <v>10</v>
      </c>
      <c r="C50" s="11">
        <f t="shared" si="1"/>
        <v>2020</v>
      </c>
      <c r="D50" s="12" t="s">
        <v>121</v>
      </c>
      <c r="E50" s="12" t="s">
        <v>10</v>
      </c>
      <c r="F50" s="39" t="s">
        <v>31</v>
      </c>
      <c r="G50" s="40" t="s">
        <v>31</v>
      </c>
      <c r="H50" s="23" t="s">
        <v>47</v>
      </c>
      <c r="I50" s="12">
        <v>5</v>
      </c>
      <c r="J50" t="s">
        <v>0</v>
      </c>
      <c r="K50" s="9">
        <v>1111</v>
      </c>
      <c r="L50" s="60">
        <f t="shared" si="6"/>
        <v>5555</v>
      </c>
      <c r="M50" s="8">
        <f t="shared" si="7"/>
        <v>133488.5</v>
      </c>
      <c r="N50" s="22" t="s">
        <v>300</v>
      </c>
      <c r="O50" s="2">
        <f>1+2+1+1</f>
        <v>5</v>
      </c>
      <c r="P50" s="7">
        <f t="shared" si="8"/>
        <v>0</v>
      </c>
      <c r="Q50" s="15" t="s">
        <v>301</v>
      </c>
      <c r="R50" s="15"/>
    </row>
    <row r="51" spans="1:18" customFormat="1" ht="72.5" x14ac:dyDescent="0.35">
      <c r="A51" s="27">
        <v>44113</v>
      </c>
      <c r="B51" s="26">
        <f t="shared" si="3"/>
        <v>10</v>
      </c>
      <c r="C51" s="11">
        <f t="shared" si="1"/>
        <v>2020</v>
      </c>
      <c r="D51" s="12" t="s">
        <v>121</v>
      </c>
      <c r="E51" s="12" t="s">
        <v>10</v>
      </c>
      <c r="F51" s="39" t="s">
        <v>141</v>
      </c>
      <c r="G51" s="40" t="s">
        <v>141</v>
      </c>
      <c r="H51" s="23" t="s">
        <v>47</v>
      </c>
      <c r="I51" s="12">
        <v>20</v>
      </c>
      <c r="J51" t="s">
        <v>18</v>
      </c>
      <c r="K51" s="9">
        <v>168</v>
      </c>
      <c r="L51" s="60">
        <f t="shared" si="6"/>
        <v>3360</v>
      </c>
      <c r="M51" s="8">
        <f t="shared" si="7"/>
        <v>136848.5</v>
      </c>
      <c r="N51" s="22" t="s">
        <v>268</v>
      </c>
      <c r="O51" s="2">
        <f>1+1+2+2+5+2+1+2+4</f>
        <v>20</v>
      </c>
      <c r="P51" s="7">
        <f t="shared" si="8"/>
        <v>0</v>
      </c>
      <c r="Q51" s="15" t="s">
        <v>267</v>
      </c>
      <c r="R51" s="15"/>
    </row>
    <row r="52" spans="1:18" customFormat="1" ht="58" x14ac:dyDescent="0.35">
      <c r="A52" s="27">
        <v>44113</v>
      </c>
      <c r="B52" s="26">
        <f t="shared" si="3"/>
        <v>10</v>
      </c>
      <c r="C52" s="11">
        <f t="shared" si="1"/>
        <v>2020</v>
      </c>
      <c r="D52" s="12" t="s">
        <v>121</v>
      </c>
      <c r="E52" s="12" t="s">
        <v>10</v>
      </c>
      <c r="F52" s="41" t="s">
        <v>142</v>
      </c>
      <c r="G52" s="39" t="s">
        <v>142</v>
      </c>
      <c r="H52" s="23" t="s">
        <v>47</v>
      </c>
      <c r="I52" s="12">
        <v>20</v>
      </c>
      <c r="J52" t="s">
        <v>25</v>
      </c>
      <c r="K52" s="9">
        <v>77.5</v>
      </c>
      <c r="L52" s="60">
        <f t="shared" si="6"/>
        <v>1550</v>
      </c>
      <c r="M52" s="8">
        <f t="shared" si="7"/>
        <v>138398.5</v>
      </c>
      <c r="N52" s="22" t="s">
        <v>206</v>
      </c>
      <c r="O52" s="2">
        <f>2+6+4+1+2+1+2+2</f>
        <v>20</v>
      </c>
      <c r="P52" s="7">
        <f t="shared" si="8"/>
        <v>0</v>
      </c>
      <c r="Q52" s="15" t="s">
        <v>205</v>
      </c>
      <c r="R52" s="15"/>
    </row>
    <row r="53" spans="1:18" customFormat="1" ht="43.5" x14ac:dyDescent="0.35">
      <c r="A53" s="27">
        <v>44113</v>
      </c>
      <c r="B53" s="26">
        <f t="shared" si="3"/>
        <v>10</v>
      </c>
      <c r="C53" s="11">
        <f t="shared" si="1"/>
        <v>2020</v>
      </c>
      <c r="D53" s="12" t="s">
        <v>122</v>
      </c>
      <c r="E53" s="12" t="s">
        <v>10</v>
      </c>
      <c r="F53" s="39" t="s">
        <v>29</v>
      </c>
      <c r="G53" s="40" t="s">
        <v>29</v>
      </c>
      <c r="H53" s="23" t="s">
        <v>47</v>
      </c>
      <c r="I53" s="12">
        <v>10</v>
      </c>
      <c r="J53" t="s">
        <v>0</v>
      </c>
      <c r="K53" s="9">
        <v>1111</v>
      </c>
      <c r="L53" s="60">
        <f t="shared" si="6"/>
        <v>11110</v>
      </c>
      <c r="M53" s="8">
        <f t="shared" si="7"/>
        <v>149508.5</v>
      </c>
      <c r="N53" s="22" t="s">
        <v>202</v>
      </c>
      <c r="O53" s="2">
        <f>3+1+2+1+1+2</f>
        <v>10</v>
      </c>
      <c r="P53" s="7">
        <f t="shared" si="8"/>
        <v>0</v>
      </c>
      <c r="Q53" s="15" t="s">
        <v>201</v>
      </c>
      <c r="R53" s="15"/>
    </row>
    <row r="54" spans="1:18" customFormat="1" ht="29" x14ac:dyDescent="0.35">
      <c r="A54" s="27">
        <v>44123</v>
      </c>
      <c r="B54" s="26">
        <f t="shared" si="3"/>
        <v>10</v>
      </c>
      <c r="C54" s="11">
        <f t="shared" si="1"/>
        <v>2020</v>
      </c>
      <c r="D54" s="12" t="s">
        <v>126</v>
      </c>
      <c r="E54" s="12" t="s">
        <v>10</v>
      </c>
      <c r="F54" s="39" t="s">
        <v>143</v>
      </c>
      <c r="G54" s="40" t="s">
        <v>143</v>
      </c>
      <c r="H54" s="23" t="s">
        <v>47</v>
      </c>
      <c r="I54" s="12">
        <v>2</v>
      </c>
      <c r="J54" t="s">
        <v>18</v>
      </c>
      <c r="K54" s="9">
        <v>168</v>
      </c>
      <c r="L54" s="60">
        <f t="shared" si="6"/>
        <v>336</v>
      </c>
      <c r="M54" s="8">
        <f t="shared" si="7"/>
        <v>149844.5</v>
      </c>
      <c r="N54" s="28" t="s">
        <v>129</v>
      </c>
      <c r="O54" s="2">
        <v>2</v>
      </c>
      <c r="P54" s="7">
        <f t="shared" si="8"/>
        <v>0</v>
      </c>
      <c r="Q54" s="2" t="s">
        <v>123</v>
      </c>
      <c r="R54" s="15"/>
    </row>
    <row r="55" spans="1:18" customFormat="1" ht="29" x14ac:dyDescent="0.35">
      <c r="A55" s="27">
        <v>44123</v>
      </c>
      <c r="B55" s="26">
        <f t="shared" si="3"/>
        <v>10</v>
      </c>
      <c r="C55" s="11">
        <f t="shared" si="1"/>
        <v>2020</v>
      </c>
      <c r="D55" s="12" t="s">
        <v>124</v>
      </c>
      <c r="E55" s="12" t="s">
        <v>10</v>
      </c>
      <c r="F55" s="32" t="s">
        <v>245</v>
      </c>
      <c r="G55" s="43" t="s">
        <v>245</v>
      </c>
      <c r="H55" s="23" t="s">
        <v>47</v>
      </c>
      <c r="I55" s="12">
        <v>4</v>
      </c>
      <c r="J55" t="s">
        <v>215</v>
      </c>
      <c r="K55" s="9">
        <v>28</v>
      </c>
      <c r="L55" s="60">
        <f t="shared" si="6"/>
        <v>112</v>
      </c>
      <c r="M55" s="8">
        <f t="shared" si="7"/>
        <v>149956.5</v>
      </c>
      <c r="N55" s="29" t="s">
        <v>251</v>
      </c>
      <c r="O55" s="2">
        <f>1+3</f>
        <v>4</v>
      </c>
      <c r="P55" s="45">
        <f t="shared" si="8"/>
        <v>0</v>
      </c>
      <c r="Q55" s="15" t="s">
        <v>252</v>
      </c>
      <c r="R55" s="62"/>
    </row>
    <row r="56" spans="1:18" customFormat="1" ht="58" x14ac:dyDescent="0.35">
      <c r="A56" s="27">
        <v>44123</v>
      </c>
      <c r="B56" s="26">
        <f t="shared" si="3"/>
        <v>10</v>
      </c>
      <c r="C56" s="11">
        <f t="shared" si="1"/>
        <v>2020</v>
      </c>
      <c r="D56" s="12" t="s">
        <v>127</v>
      </c>
      <c r="E56" s="12" t="s">
        <v>10</v>
      </c>
      <c r="F56" s="39" t="s">
        <v>64</v>
      </c>
      <c r="G56" s="40" t="s">
        <v>64</v>
      </c>
      <c r="H56" s="23" t="s">
        <v>47</v>
      </c>
      <c r="I56" s="12">
        <v>10</v>
      </c>
      <c r="J56" t="s">
        <v>0</v>
      </c>
      <c r="K56" s="9">
        <v>1111</v>
      </c>
      <c r="L56" s="60">
        <f t="shared" si="6"/>
        <v>11110</v>
      </c>
      <c r="M56" s="8">
        <f t="shared" si="7"/>
        <v>161066.5</v>
      </c>
      <c r="N56" s="22" t="s">
        <v>200</v>
      </c>
      <c r="O56" s="2">
        <f>3+1+1+1+1+1+1+1</f>
        <v>10</v>
      </c>
      <c r="P56" s="7">
        <f t="shared" si="8"/>
        <v>0</v>
      </c>
      <c r="Q56" s="15" t="s">
        <v>199</v>
      </c>
      <c r="R56" s="15"/>
    </row>
    <row r="57" spans="1:18" customFormat="1" ht="29" x14ac:dyDescent="0.35">
      <c r="A57" s="27">
        <v>44123</v>
      </c>
      <c r="B57" s="26">
        <f t="shared" si="3"/>
        <v>10</v>
      </c>
      <c r="C57" s="11">
        <f t="shared" si="1"/>
        <v>2020</v>
      </c>
      <c r="D57" s="12" t="s">
        <v>128</v>
      </c>
      <c r="E57" s="12" t="s">
        <v>10</v>
      </c>
      <c r="F57" s="39" t="s">
        <v>140</v>
      </c>
      <c r="G57" s="40" t="s">
        <v>140</v>
      </c>
      <c r="H57" s="23" t="s">
        <v>47</v>
      </c>
      <c r="I57" s="12">
        <v>4</v>
      </c>
      <c r="J57" t="s">
        <v>18</v>
      </c>
      <c r="K57" s="9">
        <v>176</v>
      </c>
      <c r="L57" s="60">
        <f t="shared" si="6"/>
        <v>704</v>
      </c>
      <c r="M57" s="8">
        <f t="shared" si="7"/>
        <v>161770.5</v>
      </c>
      <c r="N57" s="28" t="s">
        <v>129</v>
      </c>
      <c r="O57" s="2">
        <v>4</v>
      </c>
      <c r="P57" s="7">
        <f t="shared" si="8"/>
        <v>0</v>
      </c>
      <c r="Q57" s="2" t="s">
        <v>133</v>
      </c>
      <c r="R57" s="15"/>
    </row>
    <row r="58" spans="1:18" customFormat="1" ht="29" x14ac:dyDescent="0.35">
      <c r="A58" s="27">
        <v>44123</v>
      </c>
      <c r="B58" s="26">
        <f t="shared" si="3"/>
        <v>10</v>
      </c>
      <c r="C58" s="11">
        <f t="shared" si="1"/>
        <v>2020</v>
      </c>
      <c r="D58" s="12" t="s">
        <v>128</v>
      </c>
      <c r="E58" s="12" t="s">
        <v>10</v>
      </c>
      <c r="F58" s="39" t="s">
        <v>139</v>
      </c>
      <c r="G58" s="40" t="s">
        <v>139</v>
      </c>
      <c r="H58" s="23" t="s">
        <v>47</v>
      </c>
      <c r="I58" s="12">
        <v>1</v>
      </c>
      <c r="J58" t="s">
        <v>18</v>
      </c>
      <c r="K58" s="9">
        <v>450</v>
      </c>
      <c r="L58" s="60">
        <f t="shared" si="6"/>
        <v>450</v>
      </c>
      <c r="M58" s="8">
        <f t="shared" si="7"/>
        <v>162220.5</v>
      </c>
      <c r="N58" s="29" t="s">
        <v>129</v>
      </c>
      <c r="O58" s="2">
        <v>1</v>
      </c>
      <c r="P58" s="7">
        <f t="shared" si="8"/>
        <v>0</v>
      </c>
      <c r="Q58" s="2" t="s">
        <v>137</v>
      </c>
      <c r="R58" s="15"/>
    </row>
    <row r="59" spans="1:18" customFormat="1" x14ac:dyDescent="0.35">
      <c r="A59" s="27">
        <v>44123</v>
      </c>
      <c r="B59" s="26">
        <f t="shared" si="3"/>
        <v>10</v>
      </c>
      <c r="C59" s="11">
        <f t="shared" si="1"/>
        <v>2020</v>
      </c>
      <c r="D59" s="12"/>
      <c r="E59" s="12" t="s">
        <v>158</v>
      </c>
      <c r="F59" s="39" t="s">
        <v>134</v>
      </c>
      <c r="G59" s="40" t="s">
        <v>134</v>
      </c>
      <c r="H59" s="23" t="s">
        <v>51</v>
      </c>
      <c r="I59" s="12">
        <v>1</v>
      </c>
      <c r="J59" t="s">
        <v>138</v>
      </c>
      <c r="K59" s="9">
        <v>54</v>
      </c>
      <c r="L59" s="60">
        <f t="shared" ref="L59:L60" si="9">SUM(I59*K59)</f>
        <v>54</v>
      </c>
      <c r="M59" s="8">
        <f t="shared" si="7"/>
        <v>162274.5</v>
      </c>
      <c r="N59" s="28" t="s">
        <v>129</v>
      </c>
      <c r="O59" s="2">
        <v>1</v>
      </c>
      <c r="P59" s="7">
        <f t="shared" si="8"/>
        <v>0</v>
      </c>
      <c r="Q59" s="2" t="s">
        <v>137</v>
      </c>
      <c r="R59" s="15"/>
    </row>
    <row r="60" spans="1:18" customFormat="1" x14ac:dyDescent="0.35">
      <c r="A60" s="27">
        <v>44123</v>
      </c>
      <c r="B60" s="26">
        <f t="shared" si="3"/>
        <v>10</v>
      </c>
      <c r="C60" s="11">
        <f t="shared" si="1"/>
        <v>2020</v>
      </c>
      <c r="D60" s="100" t="s">
        <v>175</v>
      </c>
      <c r="E60" s="12" t="s">
        <v>10</v>
      </c>
      <c r="F60" s="39" t="s">
        <v>153</v>
      </c>
      <c r="G60" s="40" t="s">
        <v>153</v>
      </c>
      <c r="H60" s="38" t="s">
        <v>47</v>
      </c>
      <c r="I60" s="12">
        <v>1</v>
      </c>
      <c r="J60" t="s">
        <v>125</v>
      </c>
      <c r="K60" s="9">
        <v>90</v>
      </c>
      <c r="L60" s="60">
        <f t="shared" si="9"/>
        <v>90</v>
      </c>
      <c r="M60" s="8">
        <f t="shared" si="7"/>
        <v>162364.5</v>
      </c>
      <c r="N60" s="28" t="s">
        <v>154</v>
      </c>
      <c r="O60" s="2">
        <v>1</v>
      </c>
      <c r="P60" s="7">
        <f t="shared" si="8"/>
        <v>0</v>
      </c>
      <c r="Q60" s="2" t="s">
        <v>155</v>
      </c>
      <c r="R60" s="15"/>
    </row>
    <row r="61" spans="1:18" customFormat="1" x14ac:dyDescent="0.35">
      <c r="A61" s="27">
        <v>44145</v>
      </c>
      <c r="B61" s="26">
        <f t="shared" si="3"/>
        <v>11</v>
      </c>
      <c r="C61" s="11">
        <f t="shared" si="1"/>
        <v>2020</v>
      </c>
      <c r="D61" s="12" t="s">
        <v>159</v>
      </c>
      <c r="E61" s="12" t="s">
        <v>10</v>
      </c>
      <c r="F61" s="39" t="s">
        <v>29</v>
      </c>
      <c r="G61" s="40" t="s">
        <v>29</v>
      </c>
      <c r="H61" s="23" t="s">
        <v>47</v>
      </c>
      <c r="I61" s="12">
        <v>5</v>
      </c>
      <c r="J61" t="s">
        <v>0</v>
      </c>
      <c r="K61" s="9">
        <v>1199</v>
      </c>
      <c r="L61" s="60">
        <f t="shared" si="6"/>
        <v>5995</v>
      </c>
      <c r="M61" s="8">
        <f t="shared" si="7"/>
        <v>168359.5</v>
      </c>
      <c r="N61" s="28" t="s">
        <v>211</v>
      </c>
      <c r="O61" s="2">
        <f>3+2</f>
        <v>5</v>
      </c>
      <c r="P61" s="7">
        <f t="shared" si="8"/>
        <v>0</v>
      </c>
      <c r="Q61" s="2" t="s">
        <v>212</v>
      </c>
      <c r="R61" s="15"/>
    </row>
    <row r="62" spans="1:18" customFormat="1" ht="87" x14ac:dyDescent="0.35">
      <c r="A62" s="27">
        <v>44145</v>
      </c>
      <c r="B62" s="26">
        <f t="shared" si="3"/>
        <v>11</v>
      </c>
      <c r="C62" s="11">
        <f t="shared" si="1"/>
        <v>2020</v>
      </c>
      <c r="D62" s="12" t="s">
        <v>160</v>
      </c>
      <c r="E62" s="12" t="s">
        <v>10</v>
      </c>
      <c r="F62" s="39" t="s">
        <v>19</v>
      </c>
      <c r="G62" s="40" t="s">
        <v>19</v>
      </c>
      <c r="H62" s="23" t="s">
        <v>47</v>
      </c>
      <c r="I62" s="12">
        <v>20</v>
      </c>
      <c r="J62" t="s">
        <v>25</v>
      </c>
      <c r="K62" s="9">
        <v>77.5</v>
      </c>
      <c r="L62" s="60">
        <f t="shared" si="6"/>
        <v>1550</v>
      </c>
      <c r="M62" s="8">
        <f t="shared" si="7"/>
        <v>169909.5</v>
      </c>
      <c r="N62" s="22" t="s">
        <v>255</v>
      </c>
      <c r="O62" s="2">
        <f>6+2+1+2+6+3</f>
        <v>20</v>
      </c>
      <c r="P62" s="7">
        <f t="shared" si="8"/>
        <v>0</v>
      </c>
      <c r="Q62" s="15" t="s">
        <v>256</v>
      </c>
      <c r="R62" s="15" t="s">
        <v>253</v>
      </c>
    </row>
    <row r="63" spans="1:18" customFormat="1" ht="29" x14ac:dyDescent="0.35">
      <c r="A63" s="27">
        <v>44154</v>
      </c>
      <c r="B63" s="10">
        <f t="shared" si="3"/>
        <v>11</v>
      </c>
      <c r="C63" s="11">
        <f t="shared" si="1"/>
        <v>2020</v>
      </c>
      <c r="D63" s="12" t="s">
        <v>174</v>
      </c>
      <c r="E63" s="12" t="s">
        <v>10</v>
      </c>
      <c r="F63" s="39" t="s">
        <v>29</v>
      </c>
      <c r="G63" s="40" t="s">
        <v>29</v>
      </c>
      <c r="H63" s="23" t="s">
        <v>47</v>
      </c>
      <c r="I63" s="12">
        <v>5</v>
      </c>
      <c r="J63" t="s">
        <v>0</v>
      </c>
      <c r="K63" s="9">
        <v>1199</v>
      </c>
      <c r="L63" s="60">
        <f t="shared" si="6"/>
        <v>5995</v>
      </c>
      <c r="M63" s="8">
        <f t="shared" si="7"/>
        <v>175904.5</v>
      </c>
      <c r="N63" s="21" t="s">
        <v>264</v>
      </c>
      <c r="O63" s="2">
        <f>3+1+1</f>
        <v>5</v>
      </c>
      <c r="P63" s="7">
        <f t="shared" si="8"/>
        <v>0</v>
      </c>
      <c r="Q63" s="15" t="s">
        <v>262</v>
      </c>
      <c r="R63" s="15"/>
    </row>
    <row r="64" spans="1:18" customFormat="1" x14ac:dyDescent="0.35">
      <c r="A64" s="27">
        <v>44155</v>
      </c>
      <c r="B64" s="10">
        <f t="shared" si="3"/>
        <v>11</v>
      </c>
      <c r="C64" s="11">
        <f t="shared" si="1"/>
        <v>2020</v>
      </c>
      <c r="D64" s="100" t="s">
        <v>175</v>
      </c>
      <c r="E64" s="12" t="s">
        <v>10</v>
      </c>
      <c r="F64" s="39" t="s">
        <v>63</v>
      </c>
      <c r="G64" s="40" t="s">
        <v>63</v>
      </c>
      <c r="H64" s="38" t="s">
        <v>47</v>
      </c>
      <c r="I64" s="12">
        <v>1</v>
      </c>
      <c r="J64" t="s">
        <v>18</v>
      </c>
      <c r="K64" s="9">
        <v>345</v>
      </c>
      <c r="L64" s="60">
        <f t="shared" si="6"/>
        <v>345</v>
      </c>
      <c r="M64" s="8">
        <f t="shared" si="7"/>
        <v>176249.5</v>
      </c>
      <c r="N64" s="29" t="s">
        <v>163</v>
      </c>
      <c r="O64" s="2">
        <v>1</v>
      </c>
      <c r="P64" s="7">
        <f t="shared" si="8"/>
        <v>0</v>
      </c>
      <c r="Q64" s="2" t="s">
        <v>164</v>
      </c>
      <c r="R64" s="15"/>
    </row>
    <row r="65" spans="1:18" customFormat="1" ht="72.5" x14ac:dyDescent="0.35">
      <c r="A65" s="27">
        <v>44159</v>
      </c>
      <c r="B65" s="26">
        <f t="shared" ref="B65:B86" si="10">MONTH(A65)</f>
        <v>11</v>
      </c>
      <c r="C65" s="11">
        <f t="shared" si="1"/>
        <v>2020</v>
      </c>
      <c r="D65" s="12" t="s">
        <v>161</v>
      </c>
      <c r="E65" s="12" t="s">
        <v>36</v>
      </c>
      <c r="F65" s="39" t="s">
        <v>37</v>
      </c>
      <c r="G65" s="40" t="s">
        <v>37</v>
      </c>
      <c r="H65" s="23" t="s">
        <v>51</v>
      </c>
      <c r="I65" s="12">
        <v>10</v>
      </c>
      <c r="J65" t="s">
        <v>1</v>
      </c>
      <c r="K65" s="9">
        <v>212</v>
      </c>
      <c r="L65" s="60">
        <f t="shared" si="6"/>
        <v>2120</v>
      </c>
      <c r="M65" s="8">
        <f t="shared" si="7"/>
        <v>178369.5</v>
      </c>
      <c r="N65" s="22" t="s">
        <v>810</v>
      </c>
      <c r="O65" s="2">
        <f>2+1+1+1+1+3+1</f>
        <v>10</v>
      </c>
      <c r="P65" s="7">
        <f>I65-O65</f>
        <v>0</v>
      </c>
      <c r="Q65" s="15" t="s">
        <v>811</v>
      </c>
      <c r="R65" s="15"/>
    </row>
    <row r="66" spans="1:18" customFormat="1" ht="29" x14ac:dyDescent="0.35">
      <c r="A66" s="27">
        <v>44160</v>
      </c>
      <c r="B66" s="10">
        <f t="shared" si="10"/>
        <v>11</v>
      </c>
      <c r="C66" s="11">
        <f t="shared" si="1"/>
        <v>2020</v>
      </c>
      <c r="D66" s="12" t="s">
        <v>195</v>
      </c>
      <c r="E66" s="12" t="s">
        <v>10</v>
      </c>
      <c r="F66" s="30" t="s">
        <v>193</v>
      </c>
      <c r="G66" s="31" t="s">
        <v>194</v>
      </c>
      <c r="H66" s="23" t="s">
        <v>47</v>
      </c>
      <c r="I66" s="12">
        <v>20</v>
      </c>
      <c r="J66" t="s">
        <v>1</v>
      </c>
      <c r="K66" s="9">
        <v>168</v>
      </c>
      <c r="L66" s="60">
        <f t="shared" si="6"/>
        <v>3360</v>
      </c>
      <c r="M66" s="8">
        <f t="shared" si="7"/>
        <v>181729.5</v>
      </c>
      <c r="N66" s="22" t="s">
        <v>249</v>
      </c>
      <c r="O66" s="2">
        <f>4+4+8+4</f>
        <v>20</v>
      </c>
      <c r="P66" s="7">
        <f>I66-O66</f>
        <v>0</v>
      </c>
      <c r="Q66" s="15" t="s">
        <v>250</v>
      </c>
      <c r="R66" s="15"/>
    </row>
    <row r="67" spans="1:18" customFormat="1" ht="43.5" x14ac:dyDescent="0.35">
      <c r="A67" s="27">
        <v>44160</v>
      </c>
      <c r="B67" s="10">
        <f t="shared" si="10"/>
        <v>11</v>
      </c>
      <c r="C67" s="11">
        <f t="shared" si="1"/>
        <v>2020</v>
      </c>
      <c r="D67" s="12" t="s">
        <v>195</v>
      </c>
      <c r="E67" s="12" t="s">
        <v>10</v>
      </c>
      <c r="F67" s="39" t="s">
        <v>196</v>
      </c>
      <c r="G67" s="40" t="s">
        <v>196</v>
      </c>
      <c r="H67" s="23" t="s">
        <v>47</v>
      </c>
      <c r="I67" s="12">
        <v>3</v>
      </c>
      <c r="J67" t="s">
        <v>30</v>
      </c>
      <c r="K67" s="9">
        <v>297</v>
      </c>
      <c r="L67" s="60">
        <f t="shared" si="6"/>
        <v>891</v>
      </c>
      <c r="M67" s="8">
        <f t="shared" si="7"/>
        <v>182620.5</v>
      </c>
      <c r="N67" s="29" t="s">
        <v>197</v>
      </c>
      <c r="O67" s="2">
        <v>3</v>
      </c>
      <c r="P67" s="7">
        <f t="shared" si="8"/>
        <v>0</v>
      </c>
      <c r="Q67" s="2" t="s">
        <v>198</v>
      </c>
      <c r="R67" s="15"/>
    </row>
    <row r="68" spans="1:18" customFormat="1" ht="72.5" x14ac:dyDescent="0.35">
      <c r="A68" s="27">
        <v>44166</v>
      </c>
      <c r="B68" s="10">
        <f t="shared" si="10"/>
        <v>12</v>
      </c>
      <c r="C68" s="11">
        <f t="shared" si="1"/>
        <v>2020</v>
      </c>
      <c r="D68" s="101" t="s">
        <v>207</v>
      </c>
      <c r="E68" s="12" t="s">
        <v>10</v>
      </c>
      <c r="F68" s="39" t="s">
        <v>64</v>
      </c>
      <c r="G68" s="40" t="s">
        <v>64</v>
      </c>
      <c r="H68" s="35" t="s">
        <v>47</v>
      </c>
      <c r="I68" s="12">
        <v>20</v>
      </c>
      <c r="J68" t="s">
        <v>30</v>
      </c>
      <c r="K68" s="9">
        <v>1452</v>
      </c>
      <c r="L68" s="60">
        <f t="shared" si="6"/>
        <v>29040</v>
      </c>
      <c r="M68" s="8">
        <f t="shared" si="7"/>
        <v>211660.5</v>
      </c>
      <c r="N68" s="22" t="s">
        <v>298</v>
      </c>
      <c r="O68" s="2">
        <f>1+3+3+1+5+2+1+1+1+2</f>
        <v>20</v>
      </c>
      <c r="P68" s="7">
        <f>I68-O68</f>
        <v>0</v>
      </c>
      <c r="Q68" s="15" t="s">
        <v>299</v>
      </c>
      <c r="R68" s="15"/>
    </row>
    <row r="69" spans="1:18" customFormat="1" ht="43.5" x14ac:dyDescent="0.35">
      <c r="A69" s="27">
        <v>44167</v>
      </c>
      <c r="B69" s="10">
        <f t="shared" si="10"/>
        <v>12</v>
      </c>
      <c r="C69" s="11">
        <f t="shared" si="1"/>
        <v>2020</v>
      </c>
      <c r="D69" s="101" t="s">
        <v>273</v>
      </c>
      <c r="E69" s="12" t="s">
        <v>10</v>
      </c>
      <c r="F69" s="39" t="s">
        <v>28</v>
      </c>
      <c r="G69" s="40" t="s">
        <v>28</v>
      </c>
      <c r="H69" s="35" t="s">
        <v>47</v>
      </c>
      <c r="I69" s="12">
        <v>40</v>
      </c>
      <c r="J69" t="s">
        <v>30</v>
      </c>
      <c r="K69" s="9">
        <v>25</v>
      </c>
      <c r="L69" s="60">
        <f t="shared" si="6"/>
        <v>1000</v>
      </c>
      <c r="M69" s="8">
        <f t="shared" si="7"/>
        <v>212660.5</v>
      </c>
      <c r="N69" s="22" t="s">
        <v>323</v>
      </c>
      <c r="O69" s="2">
        <f>5+10+5+5+10+5</f>
        <v>40</v>
      </c>
      <c r="P69" s="7">
        <f t="shared" si="8"/>
        <v>0</v>
      </c>
      <c r="Q69" s="15" t="s">
        <v>324</v>
      </c>
      <c r="R69" s="15"/>
    </row>
    <row r="70" spans="1:18" customFormat="1" ht="29" x14ac:dyDescent="0.35">
      <c r="A70" s="27">
        <v>44180</v>
      </c>
      <c r="B70" s="10">
        <f t="shared" si="10"/>
        <v>12</v>
      </c>
      <c r="C70" s="11">
        <f t="shared" si="1"/>
        <v>2020</v>
      </c>
      <c r="D70" s="101" t="s">
        <v>274</v>
      </c>
      <c r="E70" s="12" t="s">
        <v>10</v>
      </c>
      <c r="F70" s="39" t="s">
        <v>140</v>
      </c>
      <c r="G70" s="39" t="s">
        <v>140</v>
      </c>
      <c r="H70" s="23" t="s">
        <v>51</v>
      </c>
      <c r="I70" s="12">
        <v>2</v>
      </c>
      <c r="J70" t="s">
        <v>18</v>
      </c>
      <c r="K70" s="9">
        <v>204</v>
      </c>
      <c r="L70" s="60">
        <f t="shared" si="6"/>
        <v>408</v>
      </c>
      <c r="M70" s="8">
        <f t="shared" si="7"/>
        <v>213068.5</v>
      </c>
      <c r="N70" s="28" t="s">
        <v>209</v>
      </c>
      <c r="O70" s="2">
        <v>2</v>
      </c>
      <c r="P70" s="7">
        <f t="shared" si="8"/>
        <v>0</v>
      </c>
      <c r="Q70" s="2" t="s">
        <v>210</v>
      </c>
      <c r="R70" s="15"/>
    </row>
    <row r="71" spans="1:18" customFormat="1" x14ac:dyDescent="0.35">
      <c r="A71" s="27">
        <v>44188</v>
      </c>
      <c r="B71" s="10">
        <f t="shared" si="10"/>
        <v>12</v>
      </c>
      <c r="C71" s="11">
        <f t="shared" ref="C71:C98" si="11">YEAR(A71)</f>
        <v>2020</v>
      </c>
      <c r="D71" s="12" t="s">
        <v>235</v>
      </c>
      <c r="E71" s="12" t="s">
        <v>36</v>
      </c>
      <c r="F71" s="39" t="s">
        <v>236</v>
      </c>
      <c r="G71" s="39" t="s">
        <v>236</v>
      </c>
      <c r="H71" s="23" t="s">
        <v>51</v>
      </c>
      <c r="I71" s="12">
        <v>4</v>
      </c>
      <c r="J71" t="s">
        <v>215</v>
      </c>
      <c r="K71" s="9">
        <v>35</v>
      </c>
      <c r="L71" s="60">
        <f t="shared" si="6"/>
        <v>140</v>
      </c>
      <c r="M71" s="8">
        <f t="shared" si="7"/>
        <v>213208.5</v>
      </c>
      <c r="N71" s="22" t="s">
        <v>129</v>
      </c>
      <c r="O71" s="2">
        <v>4</v>
      </c>
      <c r="P71" s="45">
        <f>I71-O71</f>
        <v>0</v>
      </c>
      <c r="Q71" s="2" t="s">
        <v>130</v>
      </c>
      <c r="R71" s="15"/>
    </row>
    <row r="72" spans="1:18" customFormat="1" ht="29" x14ac:dyDescent="0.35">
      <c r="A72" s="27">
        <v>44202</v>
      </c>
      <c r="B72" s="10">
        <f t="shared" si="10"/>
        <v>1</v>
      </c>
      <c r="C72" s="11">
        <f t="shared" si="11"/>
        <v>2021</v>
      </c>
      <c r="D72" s="102" t="s">
        <v>275</v>
      </c>
      <c r="E72" s="12" t="s">
        <v>10</v>
      </c>
      <c r="F72" s="39" t="s">
        <v>213</v>
      </c>
      <c r="G72" s="39" t="s">
        <v>213</v>
      </c>
      <c r="H72" s="23" t="s">
        <v>47</v>
      </c>
      <c r="I72" s="12">
        <v>2</v>
      </c>
      <c r="J72" t="s">
        <v>18</v>
      </c>
      <c r="K72" s="9">
        <v>594</v>
      </c>
      <c r="L72" s="60">
        <f t="shared" si="6"/>
        <v>1188</v>
      </c>
      <c r="M72" s="8">
        <f t="shared" si="7"/>
        <v>214396.5</v>
      </c>
      <c r="N72" s="28" t="s">
        <v>218</v>
      </c>
      <c r="O72" s="2">
        <v>2</v>
      </c>
      <c r="P72" s="7">
        <f t="shared" si="8"/>
        <v>0</v>
      </c>
      <c r="Q72" s="2" t="s">
        <v>226</v>
      </c>
      <c r="R72" s="15"/>
    </row>
    <row r="73" spans="1:18" customFormat="1" x14ac:dyDescent="0.35">
      <c r="A73" s="27">
        <v>44202</v>
      </c>
      <c r="B73" s="10">
        <f t="shared" si="10"/>
        <v>1</v>
      </c>
      <c r="C73" s="11">
        <f t="shared" si="11"/>
        <v>2021</v>
      </c>
      <c r="D73" s="101" t="s">
        <v>276</v>
      </c>
      <c r="E73" s="12" t="s">
        <v>10</v>
      </c>
      <c r="F73" s="39" t="s">
        <v>214</v>
      </c>
      <c r="G73" s="39" t="s">
        <v>214</v>
      </c>
      <c r="H73" s="23" t="s">
        <v>47</v>
      </c>
      <c r="I73" s="12">
        <v>2</v>
      </c>
      <c r="J73" t="s">
        <v>0</v>
      </c>
      <c r="K73" s="9">
        <v>2600</v>
      </c>
      <c r="L73" s="60">
        <f t="shared" si="6"/>
        <v>5200</v>
      </c>
      <c r="M73" s="8">
        <f t="shared" si="7"/>
        <v>219596.5</v>
      </c>
      <c r="N73" s="28" t="s">
        <v>219</v>
      </c>
      <c r="O73" s="2">
        <v>2</v>
      </c>
      <c r="P73" s="7">
        <f t="shared" ref="P73:P137" si="12">I73-O73</f>
        <v>0</v>
      </c>
      <c r="Q73" s="2" t="s">
        <v>226</v>
      </c>
      <c r="R73" s="15"/>
    </row>
    <row r="74" spans="1:18" customFormat="1" ht="29" x14ac:dyDescent="0.35">
      <c r="A74" s="27">
        <v>44202</v>
      </c>
      <c r="B74" s="10">
        <f t="shared" si="10"/>
        <v>1</v>
      </c>
      <c r="C74" s="11">
        <f t="shared" si="11"/>
        <v>2021</v>
      </c>
      <c r="D74" s="101" t="s">
        <v>276</v>
      </c>
      <c r="E74" s="12" t="s">
        <v>10</v>
      </c>
      <c r="F74" s="39" t="s">
        <v>229</v>
      </c>
      <c r="G74" s="39" t="s">
        <v>229</v>
      </c>
      <c r="H74" s="23" t="s">
        <v>47</v>
      </c>
      <c r="I74" s="12">
        <v>1</v>
      </c>
      <c r="J74" t="s">
        <v>125</v>
      </c>
      <c r="K74" s="9">
        <v>110</v>
      </c>
      <c r="L74" s="60">
        <f t="shared" si="6"/>
        <v>110</v>
      </c>
      <c r="M74" s="8">
        <f t="shared" si="7"/>
        <v>219706.5</v>
      </c>
      <c r="N74" s="28" t="s">
        <v>220</v>
      </c>
      <c r="O74" s="2">
        <v>1</v>
      </c>
      <c r="P74" s="7">
        <f t="shared" si="12"/>
        <v>0</v>
      </c>
      <c r="Q74" s="2" t="s">
        <v>227</v>
      </c>
      <c r="R74" s="15"/>
    </row>
    <row r="75" spans="1:18" customFormat="1" x14ac:dyDescent="0.35">
      <c r="A75" s="27">
        <v>44202</v>
      </c>
      <c r="B75" s="10">
        <f t="shared" si="10"/>
        <v>1</v>
      </c>
      <c r="C75" s="11">
        <f t="shared" si="11"/>
        <v>2021</v>
      </c>
      <c r="D75" s="101" t="s">
        <v>276</v>
      </c>
      <c r="E75" s="12" t="s">
        <v>10</v>
      </c>
      <c r="F75" s="39" t="s">
        <v>230</v>
      </c>
      <c r="G75" s="39" t="s">
        <v>234</v>
      </c>
      <c r="H75" s="23" t="s">
        <v>47</v>
      </c>
      <c r="I75" s="12">
        <v>1</v>
      </c>
      <c r="J75" t="s">
        <v>215</v>
      </c>
      <c r="K75" s="9">
        <v>290</v>
      </c>
      <c r="L75" s="60">
        <f t="shared" si="6"/>
        <v>290</v>
      </c>
      <c r="M75" s="8">
        <f t="shared" si="7"/>
        <v>219996.5</v>
      </c>
      <c r="N75" s="28" t="s">
        <v>221</v>
      </c>
      <c r="O75" s="2">
        <v>1</v>
      </c>
      <c r="P75" s="7">
        <f t="shared" si="12"/>
        <v>0</v>
      </c>
      <c r="Q75" s="2" t="s">
        <v>227</v>
      </c>
      <c r="R75" s="15"/>
    </row>
    <row r="76" spans="1:18" customFormat="1" ht="29" x14ac:dyDescent="0.35">
      <c r="A76" s="27">
        <v>44202</v>
      </c>
      <c r="B76" s="10">
        <f t="shared" si="10"/>
        <v>1</v>
      </c>
      <c r="C76" s="11">
        <f t="shared" si="11"/>
        <v>2021</v>
      </c>
      <c r="D76" s="101" t="s">
        <v>276</v>
      </c>
      <c r="E76" s="12" t="s">
        <v>10</v>
      </c>
      <c r="F76" s="39" t="s">
        <v>231</v>
      </c>
      <c r="G76" s="39" t="s">
        <v>231</v>
      </c>
      <c r="H76" s="23" t="s">
        <v>47</v>
      </c>
      <c r="I76" s="12">
        <v>1</v>
      </c>
      <c r="J76" t="s">
        <v>125</v>
      </c>
      <c r="K76" s="9">
        <v>150</v>
      </c>
      <c r="L76" s="60">
        <f t="shared" si="6"/>
        <v>150</v>
      </c>
      <c r="M76" s="8">
        <f t="shared" si="7"/>
        <v>220146.5</v>
      </c>
      <c r="N76" s="28" t="s">
        <v>222</v>
      </c>
      <c r="O76" s="2">
        <v>1</v>
      </c>
      <c r="P76" s="7">
        <f t="shared" si="12"/>
        <v>0</v>
      </c>
      <c r="Q76" s="2" t="s">
        <v>227</v>
      </c>
      <c r="R76" s="15"/>
    </row>
    <row r="77" spans="1:18" customFormat="1" x14ac:dyDescent="0.35">
      <c r="A77" s="27">
        <v>44202</v>
      </c>
      <c r="B77" s="10">
        <f t="shared" si="10"/>
        <v>1</v>
      </c>
      <c r="C77" s="11">
        <f t="shared" si="11"/>
        <v>2021</v>
      </c>
      <c r="D77" s="101" t="s">
        <v>276</v>
      </c>
      <c r="E77" s="12" t="s">
        <v>10</v>
      </c>
      <c r="F77" s="39" t="s">
        <v>232</v>
      </c>
      <c r="G77" s="39" t="s">
        <v>232</v>
      </c>
      <c r="H77" s="23" t="s">
        <v>47</v>
      </c>
      <c r="I77" s="12">
        <v>3</v>
      </c>
      <c r="J77" t="s">
        <v>216</v>
      </c>
      <c r="K77" s="9">
        <v>38</v>
      </c>
      <c r="L77" s="60">
        <f t="shared" si="6"/>
        <v>114</v>
      </c>
      <c r="M77" s="8">
        <f t="shared" si="7"/>
        <v>220260.5</v>
      </c>
      <c r="N77" s="28" t="s">
        <v>223</v>
      </c>
      <c r="O77" s="2">
        <v>3</v>
      </c>
      <c r="P77" s="7">
        <f t="shared" si="12"/>
        <v>0</v>
      </c>
      <c r="Q77" s="2" t="s">
        <v>228</v>
      </c>
      <c r="R77" s="15"/>
    </row>
    <row r="78" spans="1:18" customFormat="1" ht="29" x14ac:dyDescent="0.35">
      <c r="A78" s="27">
        <v>44202</v>
      </c>
      <c r="B78" s="10">
        <f t="shared" si="10"/>
        <v>1</v>
      </c>
      <c r="C78" s="11">
        <f t="shared" si="11"/>
        <v>2021</v>
      </c>
      <c r="D78" s="101" t="s">
        <v>276</v>
      </c>
      <c r="E78" s="12" t="s">
        <v>10</v>
      </c>
      <c r="F78" s="39" t="s">
        <v>233</v>
      </c>
      <c r="G78" s="39" t="s">
        <v>233</v>
      </c>
      <c r="H78" s="23" t="s">
        <v>47</v>
      </c>
      <c r="I78" s="12">
        <v>1</v>
      </c>
      <c r="J78" t="s">
        <v>217</v>
      </c>
      <c r="K78" s="9">
        <v>290</v>
      </c>
      <c r="L78" s="60">
        <f t="shared" si="6"/>
        <v>290</v>
      </c>
      <c r="M78" s="8">
        <f t="shared" si="7"/>
        <v>220550.5</v>
      </c>
      <c r="N78" s="28" t="s">
        <v>224</v>
      </c>
      <c r="O78" s="2">
        <v>1</v>
      </c>
      <c r="P78" s="7">
        <f t="shared" si="12"/>
        <v>0</v>
      </c>
      <c r="Q78" s="2" t="s">
        <v>227</v>
      </c>
      <c r="R78" s="15"/>
    </row>
    <row r="79" spans="1:18" customFormat="1" x14ac:dyDescent="0.35">
      <c r="A79" s="27">
        <v>44202</v>
      </c>
      <c r="B79" s="10">
        <f t="shared" si="10"/>
        <v>1</v>
      </c>
      <c r="C79" s="11">
        <f t="shared" si="11"/>
        <v>2021</v>
      </c>
      <c r="D79" s="101" t="s">
        <v>276</v>
      </c>
      <c r="E79" s="12" t="s">
        <v>10</v>
      </c>
      <c r="F79" s="39" t="s">
        <v>656</v>
      </c>
      <c r="G79" s="39" t="s">
        <v>656</v>
      </c>
      <c r="H79" s="23" t="s">
        <v>47</v>
      </c>
      <c r="I79" s="12">
        <v>1</v>
      </c>
      <c r="J79" t="s">
        <v>215</v>
      </c>
      <c r="K79" s="9">
        <v>240</v>
      </c>
      <c r="L79" s="60">
        <f t="shared" si="6"/>
        <v>240</v>
      </c>
      <c r="M79" s="8">
        <f t="shared" si="7"/>
        <v>220790.5</v>
      </c>
      <c r="N79" s="28" t="s">
        <v>225</v>
      </c>
      <c r="O79" s="2">
        <v>1</v>
      </c>
      <c r="P79" s="7">
        <f t="shared" si="12"/>
        <v>0</v>
      </c>
      <c r="Q79" s="2" t="s">
        <v>227</v>
      </c>
      <c r="R79" s="15"/>
    </row>
    <row r="80" spans="1:18" customFormat="1" ht="72.5" x14ac:dyDescent="0.35">
      <c r="A80" s="27">
        <v>44202</v>
      </c>
      <c r="B80" s="10">
        <f t="shared" si="10"/>
        <v>1</v>
      </c>
      <c r="C80" s="11">
        <f t="shared" si="11"/>
        <v>2021</v>
      </c>
      <c r="D80" s="101" t="s">
        <v>278</v>
      </c>
      <c r="E80" s="12" t="s">
        <v>10</v>
      </c>
      <c r="F80" s="30" t="s">
        <v>193</v>
      </c>
      <c r="G80" s="31" t="s">
        <v>194</v>
      </c>
      <c r="H80" s="23" t="s">
        <v>47</v>
      </c>
      <c r="I80" s="12">
        <v>32</v>
      </c>
      <c r="J80" t="s">
        <v>1</v>
      </c>
      <c r="K80" s="9">
        <v>186</v>
      </c>
      <c r="L80" s="60">
        <f>SUM(I80*K80)</f>
        <v>5952</v>
      </c>
      <c r="M80" s="8">
        <f t="shared" si="7"/>
        <v>226742.5</v>
      </c>
      <c r="N80" s="22" t="s">
        <v>413</v>
      </c>
      <c r="O80" s="2">
        <f>8+5+1+1+5+1+5+1+5</f>
        <v>32</v>
      </c>
      <c r="P80" s="7">
        <f>I80-O80</f>
        <v>0</v>
      </c>
      <c r="Q80" s="15" t="s">
        <v>410</v>
      </c>
      <c r="R80" s="15"/>
    </row>
    <row r="81" spans="1:18" customFormat="1" ht="31" x14ac:dyDescent="0.35">
      <c r="A81" s="27">
        <v>44203</v>
      </c>
      <c r="B81" s="10">
        <f t="shared" si="10"/>
        <v>1</v>
      </c>
      <c r="C81" s="11">
        <f t="shared" si="11"/>
        <v>2021</v>
      </c>
      <c r="D81" s="101" t="s">
        <v>277</v>
      </c>
      <c r="E81" s="12" t="s">
        <v>10</v>
      </c>
      <c r="F81" s="39" t="s">
        <v>237</v>
      </c>
      <c r="G81" s="44" t="s">
        <v>239</v>
      </c>
      <c r="H81" s="23" t="s">
        <v>51</v>
      </c>
      <c r="I81" s="12">
        <v>16</v>
      </c>
      <c r="J81" t="s">
        <v>241</v>
      </c>
      <c r="K81" s="9">
        <v>120</v>
      </c>
      <c r="L81" s="60">
        <v>120</v>
      </c>
      <c r="M81" s="8">
        <f t="shared" si="7"/>
        <v>226862.5</v>
      </c>
      <c r="N81" s="29" t="s">
        <v>481</v>
      </c>
      <c r="O81" s="2">
        <f>6+5</f>
        <v>11</v>
      </c>
      <c r="P81" s="7">
        <f t="shared" si="12"/>
        <v>5</v>
      </c>
      <c r="Q81" s="15" t="s">
        <v>482</v>
      </c>
      <c r="R81" s="15" t="s">
        <v>240</v>
      </c>
    </row>
    <row r="82" spans="1:18" customFormat="1" ht="15.5" x14ac:dyDescent="0.35">
      <c r="A82" s="27">
        <v>44203</v>
      </c>
      <c r="B82" s="10">
        <f t="shared" si="10"/>
        <v>1</v>
      </c>
      <c r="C82" s="11">
        <f t="shared" si="11"/>
        <v>2021</v>
      </c>
      <c r="D82" s="101" t="s">
        <v>277</v>
      </c>
      <c r="E82" s="12" t="s">
        <v>10</v>
      </c>
      <c r="F82" s="39" t="s">
        <v>238</v>
      </c>
      <c r="G82" s="44" t="s">
        <v>238</v>
      </c>
      <c r="H82" s="23" t="s">
        <v>51</v>
      </c>
      <c r="I82" s="12">
        <v>1</v>
      </c>
      <c r="J82" t="s">
        <v>216</v>
      </c>
      <c r="K82" s="9">
        <v>39</v>
      </c>
      <c r="L82" s="60">
        <f t="shared" si="6"/>
        <v>39</v>
      </c>
      <c r="M82" s="8">
        <f t="shared" si="7"/>
        <v>226901.5</v>
      </c>
      <c r="N82" s="28" t="s">
        <v>242</v>
      </c>
      <c r="O82" s="2">
        <v>1</v>
      </c>
      <c r="P82" s="7">
        <f t="shared" si="12"/>
        <v>0</v>
      </c>
      <c r="Q82" s="2" t="s">
        <v>243</v>
      </c>
      <c r="R82" s="15"/>
    </row>
    <row r="83" spans="1:18" customFormat="1" ht="43.5" x14ac:dyDescent="0.35">
      <c r="A83" s="27">
        <v>44214</v>
      </c>
      <c r="B83" s="10">
        <f t="shared" si="10"/>
        <v>1</v>
      </c>
      <c r="C83" s="11">
        <f t="shared" si="11"/>
        <v>2021</v>
      </c>
      <c r="D83" s="101" t="s">
        <v>279</v>
      </c>
      <c r="E83" s="12" t="s">
        <v>10</v>
      </c>
      <c r="F83" s="39" t="s">
        <v>245</v>
      </c>
      <c r="G83" s="40" t="s">
        <v>245</v>
      </c>
      <c r="H83" s="23" t="s">
        <v>47</v>
      </c>
      <c r="I83" s="12">
        <v>12</v>
      </c>
      <c r="J83" t="s">
        <v>215</v>
      </c>
      <c r="K83" s="9">
        <v>28</v>
      </c>
      <c r="L83" s="60">
        <f t="shared" ref="L83:L93" si="13">SUM(I83*K83)</f>
        <v>336</v>
      </c>
      <c r="M83" s="8">
        <f t="shared" si="7"/>
        <v>227237.5</v>
      </c>
      <c r="N83" s="22" t="s">
        <v>692</v>
      </c>
      <c r="O83" s="2">
        <f>2+2+4+2+1+1</f>
        <v>12</v>
      </c>
      <c r="P83" s="7">
        <f t="shared" si="12"/>
        <v>0</v>
      </c>
      <c r="Q83" s="15" t="s">
        <v>693</v>
      </c>
      <c r="R83" s="15"/>
    </row>
    <row r="84" spans="1:18" customFormat="1" ht="29" x14ac:dyDescent="0.35">
      <c r="A84" s="27">
        <v>44214</v>
      </c>
      <c r="B84" s="51">
        <f t="shared" si="10"/>
        <v>1</v>
      </c>
      <c r="C84" s="11">
        <f t="shared" si="11"/>
        <v>2021</v>
      </c>
      <c r="D84" s="12" t="s">
        <v>279</v>
      </c>
      <c r="E84" s="12" t="s">
        <v>10</v>
      </c>
      <c r="F84" s="39" t="s">
        <v>229</v>
      </c>
      <c r="G84" s="39" t="s">
        <v>229</v>
      </c>
      <c r="H84" s="2" t="s">
        <v>47</v>
      </c>
      <c r="I84" s="12">
        <v>1</v>
      </c>
      <c r="J84" s="2" t="s">
        <v>125</v>
      </c>
      <c r="K84" s="9">
        <v>110</v>
      </c>
      <c r="L84" s="60">
        <f t="shared" si="13"/>
        <v>110</v>
      </c>
      <c r="M84" s="5">
        <f t="shared" ref="M84:M149" si="14">SUM(M83+L84)</f>
        <v>227347.5</v>
      </c>
      <c r="N84" s="49" t="s">
        <v>248</v>
      </c>
      <c r="O84" s="2">
        <v>1</v>
      </c>
      <c r="P84" s="47">
        <f t="shared" si="12"/>
        <v>0</v>
      </c>
      <c r="Q84" s="2" t="s">
        <v>243</v>
      </c>
      <c r="R84" s="15"/>
    </row>
    <row r="85" spans="1:18" customFormat="1" x14ac:dyDescent="0.35">
      <c r="A85" s="27">
        <v>44218</v>
      </c>
      <c r="B85" s="51">
        <f t="shared" si="10"/>
        <v>1</v>
      </c>
      <c r="C85" s="11">
        <f t="shared" si="11"/>
        <v>2021</v>
      </c>
      <c r="D85" s="101" t="s">
        <v>280</v>
      </c>
      <c r="E85" s="12" t="s">
        <v>10</v>
      </c>
      <c r="F85" s="39" t="s">
        <v>230</v>
      </c>
      <c r="G85" s="39" t="s">
        <v>234</v>
      </c>
      <c r="H85" s="2" t="s">
        <v>51</v>
      </c>
      <c r="I85" s="12">
        <v>1</v>
      </c>
      <c r="J85" s="2" t="s">
        <v>215</v>
      </c>
      <c r="K85" s="9">
        <v>290</v>
      </c>
      <c r="L85" s="60">
        <f t="shared" si="13"/>
        <v>290</v>
      </c>
      <c r="M85" s="5">
        <f t="shared" si="14"/>
        <v>227637.5</v>
      </c>
      <c r="N85" s="50" t="s">
        <v>258</v>
      </c>
      <c r="O85" s="2">
        <v>1</v>
      </c>
      <c r="P85" s="47">
        <f t="shared" si="12"/>
        <v>0</v>
      </c>
      <c r="Q85" s="2" t="s">
        <v>259</v>
      </c>
      <c r="R85" s="15"/>
    </row>
    <row r="86" spans="1:18" customFormat="1" ht="58" x14ac:dyDescent="0.35">
      <c r="A86" s="27">
        <v>44231</v>
      </c>
      <c r="B86" s="51">
        <f t="shared" si="10"/>
        <v>2</v>
      </c>
      <c r="C86" s="11">
        <f t="shared" si="11"/>
        <v>2021</v>
      </c>
      <c r="D86" s="101" t="s">
        <v>288</v>
      </c>
      <c r="E86" s="12" t="s">
        <v>10</v>
      </c>
      <c r="F86" s="39" t="s">
        <v>28</v>
      </c>
      <c r="G86" s="39" t="s">
        <v>28</v>
      </c>
      <c r="H86" s="2" t="s">
        <v>47</v>
      </c>
      <c r="I86" s="12">
        <v>40</v>
      </c>
      <c r="J86" s="2" t="s">
        <v>30</v>
      </c>
      <c r="K86" s="9">
        <v>30</v>
      </c>
      <c r="L86" s="60">
        <f t="shared" si="13"/>
        <v>1200</v>
      </c>
      <c r="M86" s="5">
        <f t="shared" si="14"/>
        <v>228837.5</v>
      </c>
      <c r="N86" s="14" t="s">
        <v>392</v>
      </c>
      <c r="O86" s="2">
        <f>5+10+10+5+1+9</f>
        <v>40</v>
      </c>
      <c r="P86" s="47">
        <f t="shared" si="12"/>
        <v>0</v>
      </c>
      <c r="Q86" s="15" t="s">
        <v>393</v>
      </c>
      <c r="R86" s="15"/>
    </row>
    <row r="87" spans="1:18" customFormat="1" ht="29" x14ac:dyDescent="0.35">
      <c r="A87" s="27">
        <v>44231</v>
      </c>
      <c r="B87" s="51">
        <f t="shared" ref="B87:B98" si="15">MONTH(A87)</f>
        <v>2</v>
      </c>
      <c r="C87" s="11">
        <f t="shared" si="11"/>
        <v>2021</v>
      </c>
      <c r="D87" s="12" t="s">
        <v>288</v>
      </c>
      <c r="E87" s="12" t="s">
        <v>10</v>
      </c>
      <c r="F87" s="39" t="s">
        <v>64</v>
      </c>
      <c r="G87" s="39" t="s">
        <v>64</v>
      </c>
      <c r="H87" s="2" t="s">
        <v>47</v>
      </c>
      <c r="I87" s="12">
        <v>5</v>
      </c>
      <c r="J87" s="2" t="s">
        <v>0</v>
      </c>
      <c r="K87" s="9">
        <v>1408</v>
      </c>
      <c r="L87" s="60">
        <f t="shared" si="13"/>
        <v>7040</v>
      </c>
      <c r="M87" s="5">
        <f t="shared" si="14"/>
        <v>235877.5</v>
      </c>
      <c r="N87" s="49" t="s">
        <v>371</v>
      </c>
      <c r="O87" s="2">
        <f>3+1+1</f>
        <v>5</v>
      </c>
      <c r="P87" s="47">
        <f t="shared" si="12"/>
        <v>0</v>
      </c>
      <c r="Q87" s="15" t="s">
        <v>372</v>
      </c>
      <c r="R87" s="15"/>
    </row>
    <row r="88" spans="1:18" customFormat="1" x14ac:dyDescent="0.35">
      <c r="A88" s="27">
        <v>44231</v>
      </c>
      <c r="B88" s="51">
        <f t="shared" si="15"/>
        <v>2</v>
      </c>
      <c r="C88" s="11">
        <f t="shared" si="11"/>
        <v>2021</v>
      </c>
      <c r="D88" s="12" t="s">
        <v>288</v>
      </c>
      <c r="E88" s="12" t="s">
        <v>10</v>
      </c>
      <c r="F88" s="39" t="s">
        <v>29</v>
      </c>
      <c r="G88" s="39" t="s">
        <v>29</v>
      </c>
      <c r="H88" s="2" t="s">
        <v>47</v>
      </c>
      <c r="I88" s="12">
        <v>5</v>
      </c>
      <c r="J88" s="2" t="s">
        <v>0</v>
      </c>
      <c r="K88" s="9">
        <v>1408</v>
      </c>
      <c r="L88" s="60">
        <f t="shared" si="13"/>
        <v>7040</v>
      </c>
      <c r="M88" s="5">
        <f t="shared" si="14"/>
        <v>242917.5</v>
      </c>
      <c r="N88" s="49" t="s">
        <v>290</v>
      </c>
      <c r="O88" s="2">
        <f>4+1</f>
        <v>5</v>
      </c>
      <c r="P88" s="47">
        <f t="shared" si="12"/>
        <v>0</v>
      </c>
      <c r="Q88" s="2" t="s">
        <v>287</v>
      </c>
      <c r="R88" s="15"/>
    </row>
    <row r="89" spans="1:18" customFormat="1" ht="72.5" x14ac:dyDescent="0.35">
      <c r="A89" s="27">
        <v>44231</v>
      </c>
      <c r="B89" s="51">
        <f t="shared" si="15"/>
        <v>2</v>
      </c>
      <c r="C89" s="11">
        <f t="shared" si="11"/>
        <v>2021</v>
      </c>
      <c r="D89" s="12" t="s">
        <v>288</v>
      </c>
      <c r="E89" s="12" t="s">
        <v>10</v>
      </c>
      <c r="F89" s="39" t="s">
        <v>19</v>
      </c>
      <c r="G89" s="39" t="s">
        <v>19</v>
      </c>
      <c r="H89" s="2" t="s">
        <v>47</v>
      </c>
      <c r="I89" s="12">
        <v>20</v>
      </c>
      <c r="J89" s="2" t="s">
        <v>25</v>
      </c>
      <c r="K89" s="9">
        <v>80</v>
      </c>
      <c r="L89" s="60">
        <f t="shared" si="13"/>
        <v>1600</v>
      </c>
      <c r="M89" s="5">
        <f t="shared" si="14"/>
        <v>244517.5</v>
      </c>
      <c r="N89" s="14" t="s">
        <v>380</v>
      </c>
      <c r="O89" s="2">
        <f>2+1+1+1+4+1+1+4+4+1</f>
        <v>20</v>
      </c>
      <c r="P89" s="47">
        <f t="shared" si="12"/>
        <v>0</v>
      </c>
      <c r="Q89" s="15" t="s">
        <v>381</v>
      </c>
      <c r="R89" s="15" t="s">
        <v>283</v>
      </c>
    </row>
    <row r="90" spans="1:18" customFormat="1" ht="43.5" x14ac:dyDescent="0.35">
      <c r="A90" s="27">
        <v>44231</v>
      </c>
      <c r="B90" s="51">
        <v>2</v>
      </c>
      <c r="C90" s="11">
        <f t="shared" si="11"/>
        <v>2021</v>
      </c>
      <c r="D90" s="12" t="s">
        <v>288</v>
      </c>
      <c r="E90" s="12" t="s">
        <v>10</v>
      </c>
      <c r="F90" s="39" t="s">
        <v>405</v>
      </c>
      <c r="G90" s="39" t="s">
        <v>405</v>
      </c>
      <c r="H90" s="2" t="s">
        <v>47</v>
      </c>
      <c r="I90" s="12">
        <v>1</v>
      </c>
      <c r="J90" s="2" t="s">
        <v>25</v>
      </c>
      <c r="K90" s="9">
        <v>55</v>
      </c>
      <c r="L90" s="60">
        <f t="shared" si="13"/>
        <v>55</v>
      </c>
      <c r="M90" s="5">
        <f t="shared" si="14"/>
        <v>244572.5</v>
      </c>
      <c r="N90" s="14" t="s">
        <v>286</v>
      </c>
      <c r="O90" s="2">
        <v>1</v>
      </c>
      <c r="P90" s="47">
        <f t="shared" si="12"/>
        <v>0</v>
      </c>
      <c r="Q90" s="15" t="s">
        <v>284</v>
      </c>
      <c r="R90" s="15" t="s">
        <v>285</v>
      </c>
    </row>
    <row r="91" spans="1:18" customFormat="1" ht="29" x14ac:dyDescent="0.35">
      <c r="A91" s="27">
        <v>44231</v>
      </c>
      <c r="B91" s="51">
        <f t="shared" si="15"/>
        <v>2</v>
      </c>
      <c r="C91" s="11">
        <f t="shared" si="11"/>
        <v>2021</v>
      </c>
      <c r="D91" s="101" t="s">
        <v>289</v>
      </c>
      <c r="E91" s="12" t="s">
        <v>10</v>
      </c>
      <c r="F91" s="30" t="s">
        <v>193</v>
      </c>
      <c r="G91" s="87" t="s">
        <v>457</v>
      </c>
      <c r="H91" s="2" t="s">
        <v>47</v>
      </c>
      <c r="I91" s="12">
        <v>20</v>
      </c>
      <c r="J91" s="2" t="s">
        <v>1</v>
      </c>
      <c r="K91" s="46">
        <v>192</v>
      </c>
      <c r="L91" s="60">
        <f t="shared" si="13"/>
        <v>3840</v>
      </c>
      <c r="M91" s="5">
        <f t="shared" si="14"/>
        <v>248412.5</v>
      </c>
      <c r="N91" s="14" t="s">
        <v>483</v>
      </c>
      <c r="O91" s="2">
        <f>4+5+10+1</f>
        <v>20</v>
      </c>
      <c r="P91" s="47">
        <f t="shared" si="12"/>
        <v>0</v>
      </c>
      <c r="Q91" s="88" t="s">
        <v>484</v>
      </c>
      <c r="R91" s="15"/>
    </row>
    <row r="92" spans="1:18" customFormat="1" ht="29" x14ac:dyDescent="0.35">
      <c r="A92" s="27">
        <v>44231</v>
      </c>
      <c r="B92" s="51">
        <f t="shared" si="15"/>
        <v>2</v>
      </c>
      <c r="C92" s="11">
        <f t="shared" si="11"/>
        <v>2021</v>
      </c>
      <c r="D92" s="12" t="s">
        <v>289</v>
      </c>
      <c r="E92" s="12" t="s">
        <v>10</v>
      </c>
      <c r="F92" s="35" t="s">
        <v>254</v>
      </c>
      <c r="G92" s="48" t="s">
        <v>254</v>
      </c>
      <c r="H92" s="2" t="s">
        <v>47</v>
      </c>
      <c r="I92" s="12">
        <v>1</v>
      </c>
      <c r="J92" s="2" t="s">
        <v>25</v>
      </c>
      <c r="K92" s="46">
        <v>90</v>
      </c>
      <c r="L92" s="60">
        <f t="shared" si="13"/>
        <v>90</v>
      </c>
      <c r="M92" s="5">
        <f t="shared" si="14"/>
        <v>248502.5</v>
      </c>
      <c r="N92" s="49" t="s">
        <v>219</v>
      </c>
      <c r="O92" s="2">
        <v>1</v>
      </c>
      <c r="P92" s="47">
        <f t="shared" si="12"/>
        <v>0</v>
      </c>
      <c r="Q92" s="2" t="s">
        <v>257</v>
      </c>
      <c r="R92" s="15"/>
    </row>
    <row r="93" spans="1:18" customFormat="1" ht="72.5" x14ac:dyDescent="0.35">
      <c r="A93" s="27">
        <v>44231</v>
      </c>
      <c r="B93" s="51">
        <f t="shared" si="15"/>
        <v>2</v>
      </c>
      <c r="C93" s="11">
        <f t="shared" si="11"/>
        <v>2021</v>
      </c>
      <c r="D93" s="12" t="s">
        <v>289</v>
      </c>
      <c r="E93" s="12" t="s">
        <v>10</v>
      </c>
      <c r="F93" s="39" t="s">
        <v>245</v>
      </c>
      <c r="G93" s="39" t="s">
        <v>245</v>
      </c>
      <c r="H93" s="2" t="s">
        <v>47</v>
      </c>
      <c r="I93" s="12">
        <v>12</v>
      </c>
      <c r="J93" s="2" t="s">
        <v>215</v>
      </c>
      <c r="K93" s="46">
        <v>28</v>
      </c>
      <c r="L93" s="60">
        <f t="shared" si="13"/>
        <v>336</v>
      </c>
      <c r="M93" s="5">
        <f t="shared" si="14"/>
        <v>248838.5</v>
      </c>
      <c r="N93" s="14" t="s">
        <v>1002</v>
      </c>
      <c r="O93" s="2">
        <f>2+2+2+2+2+1+1</f>
        <v>12</v>
      </c>
      <c r="P93" s="47">
        <f t="shared" si="12"/>
        <v>0</v>
      </c>
      <c r="Q93" s="15" t="s">
        <v>1003</v>
      </c>
      <c r="R93" s="15"/>
    </row>
    <row r="94" spans="1:18" customFormat="1" ht="29" x14ac:dyDescent="0.35">
      <c r="A94" s="27">
        <v>44235</v>
      </c>
      <c r="B94" s="51">
        <f t="shared" si="15"/>
        <v>2</v>
      </c>
      <c r="C94" s="11">
        <f t="shared" si="11"/>
        <v>2021</v>
      </c>
      <c r="D94" s="101" t="s">
        <v>281</v>
      </c>
      <c r="E94" s="12" t="s">
        <v>10</v>
      </c>
      <c r="F94" s="39" t="s">
        <v>229</v>
      </c>
      <c r="G94" s="39" t="s">
        <v>229</v>
      </c>
      <c r="H94" s="2" t="s">
        <v>47</v>
      </c>
      <c r="I94" s="12">
        <v>1</v>
      </c>
      <c r="J94" s="2" t="s">
        <v>125</v>
      </c>
      <c r="K94" s="9">
        <v>110</v>
      </c>
      <c r="L94" s="60">
        <f t="shared" ref="L94" si="16">SUM(I94*K94)</f>
        <v>110</v>
      </c>
      <c r="M94" s="5">
        <f t="shared" si="14"/>
        <v>248948.5</v>
      </c>
      <c r="N94" s="49" t="s">
        <v>258</v>
      </c>
      <c r="O94" s="2">
        <v>1</v>
      </c>
      <c r="P94" s="47">
        <f t="shared" si="12"/>
        <v>0</v>
      </c>
      <c r="Q94" s="2" t="s">
        <v>259</v>
      </c>
      <c r="R94" s="15"/>
    </row>
    <row r="95" spans="1:18" customFormat="1" x14ac:dyDescent="0.35">
      <c r="A95" s="27">
        <v>44249</v>
      </c>
      <c r="B95" s="51">
        <f t="shared" si="15"/>
        <v>2</v>
      </c>
      <c r="C95" s="11">
        <f t="shared" si="11"/>
        <v>2021</v>
      </c>
      <c r="D95" s="12" t="s">
        <v>907</v>
      </c>
      <c r="E95" s="12" t="s">
        <v>158</v>
      </c>
      <c r="F95" s="39" t="s">
        <v>270</v>
      </c>
      <c r="G95" s="39" t="s">
        <v>270</v>
      </c>
      <c r="H95" s="2" t="s">
        <v>51</v>
      </c>
      <c r="I95" s="12">
        <v>3</v>
      </c>
      <c r="J95" t="s">
        <v>138</v>
      </c>
      <c r="K95" s="9">
        <v>54</v>
      </c>
      <c r="L95" s="60">
        <v>162</v>
      </c>
      <c r="M95" s="5">
        <f t="shared" si="14"/>
        <v>249110.5</v>
      </c>
      <c r="N95" s="49" t="s">
        <v>271</v>
      </c>
      <c r="O95" s="2">
        <v>3</v>
      </c>
      <c r="P95" s="47">
        <f t="shared" si="12"/>
        <v>0</v>
      </c>
      <c r="Q95" s="2" t="s">
        <v>272</v>
      </c>
      <c r="R95" s="15"/>
    </row>
    <row r="96" spans="1:18" customFormat="1" x14ac:dyDescent="0.35">
      <c r="A96" s="27">
        <v>44251</v>
      </c>
      <c r="B96" s="51">
        <f t="shared" si="15"/>
        <v>2</v>
      </c>
      <c r="C96" s="11">
        <f t="shared" si="11"/>
        <v>2021</v>
      </c>
      <c r="D96" s="101" t="s">
        <v>282</v>
      </c>
      <c r="E96" s="12" t="s">
        <v>10</v>
      </c>
      <c r="F96" s="39" t="s">
        <v>656</v>
      </c>
      <c r="G96" s="39" t="s">
        <v>656</v>
      </c>
      <c r="H96" s="15" t="s">
        <v>51</v>
      </c>
      <c r="I96" s="12">
        <v>1</v>
      </c>
      <c r="J96" t="s">
        <v>215</v>
      </c>
      <c r="K96" s="9">
        <v>240</v>
      </c>
      <c r="L96" s="60">
        <f t="shared" ref="L96:L98" si="17">SUM(I96*K96)</f>
        <v>240</v>
      </c>
      <c r="M96" s="5">
        <f t="shared" si="14"/>
        <v>249350.5</v>
      </c>
      <c r="N96" s="50" t="s">
        <v>263</v>
      </c>
      <c r="O96" s="2">
        <v>1</v>
      </c>
      <c r="P96" s="47">
        <f t="shared" si="12"/>
        <v>0</v>
      </c>
      <c r="Q96" s="2" t="s">
        <v>266</v>
      </c>
      <c r="R96" s="15"/>
    </row>
    <row r="97" spans="1:20" customFormat="1" ht="29.5" customHeight="1" x14ac:dyDescent="0.35">
      <c r="A97" s="27">
        <v>44253</v>
      </c>
      <c r="B97" s="51">
        <f t="shared" si="15"/>
        <v>2</v>
      </c>
      <c r="C97" s="11">
        <f t="shared" si="11"/>
        <v>2021</v>
      </c>
      <c r="D97" s="101" t="s">
        <v>308</v>
      </c>
      <c r="E97" s="24" t="s">
        <v>10</v>
      </c>
      <c r="F97" s="39" t="s">
        <v>29</v>
      </c>
      <c r="G97" s="40" t="s">
        <v>29</v>
      </c>
      <c r="H97" s="23" t="s">
        <v>47</v>
      </c>
      <c r="I97" s="12">
        <v>10</v>
      </c>
      <c r="J97" t="s">
        <v>0</v>
      </c>
      <c r="K97" s="9">
        <v>1408</v>
      </c>
      <c r="L97" s="60">
        <f t="shared" si="17"/>
        <v>14080</v>
      </c>
      <c r="M97" s="5">
        <f t="shared" si="14"/>
        <v>263430.5</v>
      </c>
      <c r="N97" s="49" t="s">
        <v>302</v>
      </c>
      <c r="O97" s="2">
        <f>6+2+2</f>
        <v>10</v>
      </c>
      <c r="P97" s="47">
        <f t="shared" si="12"/>
        <v>0</v>
      </c>
      <c r="Q97" s="15" t="s">
        <v>303</v>
      </c>
      <c r="R97" s="15"/>
    </row>
    <row r="98" spans="1:20" customFormat="1" ht="43.5" x14ac:dyDescent="0.35">
      <c r="A98" s="27">
        <v>44253</v>
      </c>
      <c r="B98" s="12">
        <f t="shared" si="15"/>
        <v>2</v>
      </c>
      <c r="C98" s="11">
        <f t="shared" si="11"/>
        <v>2021</v>
      </c>
      <c r="D98" s="12" t="s">
        <v>308</v>
      </c>
      <c r="E98" s="24" t="s">
        <v>10</v>
      </c>
      <c r="F98" s="2" t="s">
        <v>16</v>
      </c>
      <c r="G98" s="2" t="s">
        <v>16</v>
      </c>
      <c r="H98" s="2" t="s">
        <v>47</v>
      </c>
      <c r="I98" s="12">
        <v>11</v>
      </c>
      <c r="J98" s="2" t="s">
        <v>18</v>
      </c>
      <c r="K98" s="9">
        <v>198</v>
      </c>
      <c r="L98" s="60">
        <f t="shared" si="17"/>
        <v>2178</v>
      </c>
      <c r="M98" s="5">
        <f t="shared" si="14"/>
        <v>265608.5</v>
      </c>
      <c r="N98" s="58" t="s">
        <v>319</v>
      </c>
      <c r="O98" s="2">
        <v>11</v>
      </c>
      <c r="P98" s="47">
        <f t="shared" si="12"/>
        <v>0</v>
      </c>
      <c r="Q98" s="58" t="s">
        <v>320</v>
      </c>
      <c r="R98" s="15"/>
    </row>
    <row r="99" spans="1:20" customFormat="1" x14ac:dyDescent="0.35">
      <c r="A99" s="27">
        <v>44253</v>
      </c>
      <c r="B99" s="51">
        <f t="shared" ref="B99:B102" si="18">MONTH(A99)</f>
        <v>2</v>
      </c>
      <c r="C99" s="11">
        <f t="shared" ref="C99:C102" si="19">YEAR(A99)</f>
        <v>2021</v>
      </c>
      <c r="D99" s="101" t="s">
        <v>309</v>
      </c>
      <c r="E99" s="24" t="s">
        <v>10</v>
      </c>
      <c r="F99" s="39" t="s">
        <v>29</v>
      </c>
      <c r="G99" s="40" t="s">
        <v>29</v>
      </c>
      <c r="H99" s="23" t="s">
        <v>47</v>
      </c>
      <c r="I99" s="12">
        <v>10</v>
      </c>
      <c r="J99" t="s">
        <v>0</v>
      </c>
      <c r="K99" s="9">
        <v>1408</v>
      </c>
      <c r="L99" s="60">
        <f t="shared" ref="L99:L115" si="20">SUM(I99*K99)</f>
        <v>14080</v>
      </c>
      <c r="M99" s="5">
        <f t="shared" si="14"/>
        <v>279688.5</v>
      </c>
      <c r="N99" s="49" t="s">
        <v>321</v>
      </c>
      <c r="O99" s="2">
        <f>5+5</f>
        <v>10</v>
      </c>
      <c r="P99" s="47">
        <f t="shared" si="12"/>
        <v>0</v>
      </c>
      <c r="Q99" s="15" t="s">
        <v>322</v>
      </c>
      <c r="R99" s="15"/>
    </row>
    <row r="100" spans="1:20" customFormat="1" ht="58" x14ac:dyDescent="0.35">
      <c r="A100" s="27">
        <v>44263</v>
      </c>
      <c r="B100" s="51">
        <f t="shared" si="18"/>
        <v>3</v>
      </c>
      <c r="C100" s="11">
        <f t="shared" si="19"/>
        <v>2021</v>
      </c>
      <c r="D100" s="12">
        <v>18634</v>
      </c>
      <c r="E100" s="24" t="s">
        <v>310</v>
      </c>
      <c r="F100" s="39" t="s">
        <v>318</v>
      </c>
      <c r="G100" s="39" t="s">
        <v>318</v>
      </c>
      <c r="H100" s="23" t="s">
        <v>51</v>
      </c>
      <c r="I100" s="12">
        <v>20</v>
      </c>
      <c r="J100" t="s">
        <v>138</v>
      </c>
      <c r="K100" s="9">
        <v>42</v>
      </c>
      <c r="L100" s="60">
        <f t="shared" si="20"/>
        <v>840</v>
      </c>
      <c r="M100" s="5">
        <f t="shared" si="14"/>
        <v>280528.5</v>
      </c>
      <c r="N100" s="20" t="s">
        <v>1077</v>
      </c>
      <c r="O100" s="2">
        <f>4+1+4+4+4+3</f>
        <v>20</v>
      </c>
      <c r="P100" s="47">
        <f t="shared" si="12"/>
        <v>0</v>
      </c>
      <c r="Q100" s="15" t="s">
        <v>1078</v>
      </c>
      <c r="R100" s="15"/>
    </row>
    <row r="101" spans="1:20" customFormat="1" ht="29" x14ac:dyDescent="0.35">
      <c r="A101" s="27">
        <v>44277</v>
      </c>
      <c r="B101" s="51">
        <f t="shared" si="18"/>
        <v>3</v>
      </c>
      <c r="C101" s="11">
        <f t="shared" si="19"/>
        <v>2021</v>
      </c>
      <c r="D101" s="101" t="s">
        <v>311</v>
      </c>
      <c r="E101" s="24"/>
      <c r="F101" s="2" t="s">
        <v>16</v>
      </c>
      <c r="G101" s="2" t="s">
        <v>16</v>
      </c>
      <c r="H101" s="23" t="s">
        <v>51</v>
      </c>
      <c r="I101" s="12">
        <v>5</v>
      </c>
      <c r="J101" s="23" t="s">
        <v>18</v>
      </c>
      <c r="K101" s="9">
        <v>210</v>
      </c>
      <c r="L101" s="60">
        <f t="shared" si="20"/>
        <v>1050</v>
      </c>
      <c r="M101" s="5">
        <f t="shared" si="14"/>
        <v>281578.5</v>
      </c>
      <c r="N101" s="49" t="s">
        <v>390</v>
      </c>
      <c r="O101" s="2">
        <f>1+1+3</f>
        <v>5</v>
      </c>
      <c r="P101" s="47">
        <f t="shared" si="12"/>
        <v>0</v>
      </c>
      <c r="Q101" s="15" t="s">
        <v>391</v>
      </c>
      <c r="R101" s="15"/>
    </row>
    <row r="102" spans="1:20" customFormat="1" x14ac:dyDescent="0.35">
      <c r="A102" s="27">
        <v>44278</v>
      </c>
      <c r="B102" s="51">
        <f t="shared" si="18"/>
        <v>3</v>
      </c>
      <c r="C102" s="11">
        <f t="shared" si="19"/>
        <v>2021</v>
      </c>
      <c r="D102" s="12">
        <v>18674</v>
      </c>
      <c r="E102" s="24" t="s">
        <v>310</v>
      </c>
      <c r="F102" s="39" t="s">
        <v>313</v>
      </c>
      <c r="G102" s="39" t="s">
        <v>313</v>
      </c>
      <c r="H102" s="23" t="s">
        <v>51</v>
      </c>
      <c r="I102" s="12">
        <v>2</v>
      </c>
      <c r="J102" s="23" t="s">
        <v>315</v>
      </c>
      <c r="K102" s="9">
        <v>50</v>
      </c>
      <c r="L102" s="60">
        <f t="shared" si="20"/>
        <v>100</v>
      </c>
      <c r="M102" s="5">
        <f t="shared" si="14"/>
        <v>281678.5</v>
      </c>
      <c r="N102" s="49" t="s">
        <v>821</v>
      </c>
      <c r="O102" s="2">
        <f>1+1</f>
        <v>2</v>
      </c>
      <c r="P102" s="47">
        <f t="shared" si="12"/>
        <v>0</v>
      </c>
      <c r="Q102" s="15" t="s">
        <v>822</v>
      </c>
      <c r="R102" s="15"/>
    </row>
    <row r="103" spans="1:20" customFormat="1" x14ac:dyDescent="0.35">
      <c r="A103" s="27">
        <v>44278</v>
      </c>
      <c r="B103" s="51">
        <f t="shared" ref="B103:B107" si="21">MONTH(A103)</f>
        <v>3</v>
      </c>
      <c r="C103" s="11">
        <f t="shared" ref="C103:C107" si="22">YEAR(A103)</f>
        <v>2021</v>
      </c>
      <c r="D103" s="12">
        <v>18674</v>
      </c>
      <c r="E103" s="24" t="s">
        <v>310</v>
      </c>
      <c r="F103" s="39" t="s">
        <v>314</v>
      </c>
      <c r="G103" s="39" t="s">
        <v>314</v>
      </c>
      <c r="H103" s="23" t="s">
        <v>51</v>
      </c>
      <c r="I103" s="12">
        <v>2</v>
      </c>
      <c r="J103" s="23" t="s">
        <v>315</v>
      </c>
      <c r="K103" s="9">
        <v>50</v>
      </c>
      <c r="L103" s="60">
        <f t="shared" si="20"/>
        <v>100</v>
      </c>
      <c r="M103" s="5">
        <f t="shared" si="14"/>
        <v>281778.5</v>
      </c>
      <c r="N103" s="49" t="s">
        <v>379</v>
      </c>
      <c r="O103" s="2">
        <v>2</v>
      </c>
      <c r="P103" s="47">
        <f t="shared" si="12"/>
        <v>0</v>
      </c>
      <c r="Q103" s="15" t="s">
        <v>316</v>
      </c>
      <c r="R103" s="15"/>
    </row>
    <row r="104" spans="1:20" customFormat="1" ht="29" x14ac:dyDescent="0.35">
      <c r="A104" s="27">
        <v>44278</v>
      </c>
      <c r="B104" s="51">
        <f t="shared" si="21"/>
        <v>3</v>
      </c>
      <c r="C104" s="11">
        <f t="shared" si="22"/>
        <v>2021</v>
      </c>
      <c r="D104" s="101" t="s">
        <v>312</v>
      </c>
      <c r="E104" s="24" t="s">
        <v>307</v>
      </c>
      <c r="F104" s="39" t="s">
        <v>643</v>
      </c>
      <c r="G104" s="39" t="s">
        <v>643</v>
      </c>
      <c r="H104" s="23" t="s">
        <v>51</v>
      </c>
      <c r="I104" s="12">
        <v>4</v>
      </c>
      <c r="J104" s="23" t="s">
        <v>125</v>
      </c>
      <c r="K104" s="9">
        <v>305</v>
      </c>
      <c r="L104" s="60">
        <f t="shared" si="20"/>
        <v>1220</v>
      </c>
      <c r="M104" s="5">
        <f t="shared" si="14"/>
        <v>282998.5</v>
      </c>
      <c r="N104" s="14" t="s">
        <v>496</v>
      </c>
      <c r="O104" s="2">
        <f>1+2+1</f>
        <v>4</v>
      </c>
      <c r="P104" s="47">
        <f t="shared" si="12"/>
        <v>0</v>
      </c>
      <c r="Q104" s="15" t="s">
        <v>495</v>
      </c>
      <c r="R104" s="15"/>
    </row>
    <row r="105" spans="1:20" customFormat="1" ht="29" x14ac:dyDescent="0.35">
      <c r="A105" s="27">
        <v>44279</v>
      </c>
      <c r="B105" s="51">
        <f t="shared" si="21"/>
        <v>3</v>
      </c>
      <c r="C105" s="11">
        <f t="shared" si="22"/>
        <v>2021</v>
      </c>
      <c r="D105" s="101" t="s">
        <v>327</v>
      </c>
      <c r="E105" s="24" t="s">
        <v>10</v>
      </c>
      <c r="F105" s="39" t="s">
        <v>229</v>
      </c>
      <c r="G105" s="39" t="s">
        <v>229</v>
      </c>
      <c r="H105" s="23" t="s">
        <v>51</v>
      </c>
      <c r="I105" s="12">
        <v>2</v>
      </c>
      <c r="J105" s="23" t="s">
        <v>125</v>
      </c>
      <c r="K105" s="9">
        <v>110</v>
      </c>
      <c r="L105" s="60">
        <f t="shared" si="20"/>
        <v>220</v>
      </c>
      <c r="M105" s="5">
        <f t="shared" si="14"/>
        <v>283218.5</v>
      </c>
      <c r="N105" s="50" t="s">
        <v>545</v>
      </c>
      <c r="O105" s="2">
        <v>2</v>
      </c>
      <c r="P105" s="47">
        <f t="shared" si="12"/>
        <v>0</v>
      </c>
      <c r="Q105" s="15" t="s">
        <v>544</v>
      </c>
      <c r="R105" s="15"/>
    </row>
    <row r="106" spans="1:20" customFormat="1" ht="43.5" x14ac:dyDescent="0.35">
      <c r="A106" s="27">
        <v>44279</v>
      </c>
      <c r="B106" s="51">
        <f t="shared" si="21"/>
        <v>3</v>
      </c>
      <c r="C106" s="11">
        <f t="shared" si="22"/>
        <v>2021</v>
      </c>
      <c r="D106" s="103" t="s">
        <v>328</v>
      </c>
      <c r="E106" s="24" t="s">
        <v>10</v>
      </c>
      <c r="F106" s="76" t="s">
        <v>19</v>
      </c>
      <c r="G106" s="39" t="s">
        <v>19</v>
      </c>
      <c r="H106" s="23" t="s">
        <v>51</v>
      </c>
      <c r="I106" s="12">
        <v>16</v>
      </c>
      <c r="J106" s="23" t="s">
        <v>25</v>
      </c>
      <c r="K106" s="9">
        <v>80</v>
      </c>
      <c r="L106" s="60">
        <f t="shared" si="20"/>
        <v>1280</v>
      </c>
      <c r="M106" s="5">
        <f t="shared" si="14"/>
        <v>284498.5</v>
      </c>
      <c r="N106" s="20" t="s">
        <v>382</v>
      </c>
      <c r="O106" s="2">
        <f>5+1+2+4+4</f>
        <v>16</v>
      </c>
      <c r="P106" s="47">
        <f t="shared" si="12"/>
        <v>0</v>
      </c>
      <c r="Q106" s="15" t="s">
        <v>394</v>
      </c>
      <c r="R106" s="15"/>
    </row>
    <row r="107" spans="1:20" customFormat="1" ht="29" x14ac:dyDescent="0.35">
      <c r="A107" s="27">
        <v>44279</v>
      </c>
      <c r="B107" s="51">
        <f t="shared" si="21"/>
        <v>3</v>
      </c>
      <c r="C107" s="11">
        <f t="shared" si="22"/>
        <v>2021</v>
      </c>
      <c r="D107" s="101" t="s">
        <v>328</v>
      </c>
      <c r="E107" s="24" t="s">
        <v>10</v>
      </c>
      <c r="F107" s="39" t="s">
        <v>405</v>
      </c>
      <c r="G107" s="39" t="s">
        <v>405</v>
      </c>
      <c r="H107" s="23" t="s">
        <v>51</v>
      </c>
      <c r="I107" s="12">
        <v>8</v>
      </c>
      <c r="J107" s="23" t="s">
        <v>25</v>
      </c>
      <c r="K107" s="9">
        <v>60</v>
      </c>
      <c r="L107" s="60">
        <f t="shared" si="20"/>
        <v>480</v>
      </c>
      <c r="M107" s="5">
        <f t="shared" si="14"/>
        <v>284978.5</v>
      </c>
      <c r="N107" s="14" t="s">
        <v>417</v>
      </c>
      <c r="O107" s="2">
        <f>4+3+1</f>
        <v>8</v>
      </c>
      <c r="P107" s="47">
        <f t="shared" si="12"/>
        <v>0</v>
      </c>
      <c r="Q107" s="15" t="s">
        <v>416</v>
      </c>
      <c r="R107" s="15"/>
    </row>
    <row r="108" spans="1:20" s="57" customFormat="1" ht="58" x14ac:dyDescent="0.35">
      <c r="A108" s="27">
        <v>44284</v>
      </c>
      <c r="B108" s="51">
        <f t="shared" ref="B108:B109" si="23">MONTH(A108)</f>
        <v>3</v>
      </c>
      <c r="C108" s="11">
        <f t="shared" ref="C108:C111" si="24">YEAR(A108)</f>
        <v>2021</v>
      </c>
      <c r="D108" s="103" t="s">
        <v>330</v>
      </c>
      <c r="E108" s="24" t="s">
        <v>10</v>
      </c>
      <c r="F108" s="76" t="s">
        <v>146</v>
      </c>
      <c r="G108" s="40" t="s">
        <v>180</v>
      </c>
      <c r="H108" s="64" t="s">
        <v>47</v>
      </c>
      <c r="I108" s="65">
        <v>16</v>
      </c>
      <c r="J108" s="64" t="s">
        <v>1</v>
      </c>
      <c r="K108" s="77">
        <v>394.2</v>
      </c>
      <c r="L108" s="66">
        <f t="shared" si="20"/>
        <v>6307.2</v>
      </c>
      <c r="M108" s="5">
        <f t="shared" si="14"/>
        <v>291285.7</v>
      </c>
      <c r="N108" s="81" t="s">
        <v>601</v>
      </c>
      <c r="O108" s="64">
        <f>1+4+4+4+1+1+1</f>
        <v>16</v>
      </c>
      <c r="P108" s="47">
        <f t="shared" si="12"/>
        <v>0</v>
      </c>
      <c r="Q108" s="68" t="s">
        <v>602</v>
      </c>
      <c r="R108" s="68"/>
      <c r="S108" s="69"/>
      <c r="T108" s="69"/>
    </row>
    <row r="109" spans="1:20" s="57" customFormat="1" ht="29" x14ac:dyDescent="0.35">
      <c r="A109" s="27">
        <v>44284</v>
      </c>
      <c r="B109" s="51">
        <f t="shared" si="23"/>
        <v>3</v>
      </c>
      <c r="C109" s="11">
        <f t="shared" si="24"/>
        <v>2021</v>
      </c>
      <c r="D109" s="101" t="s">
        <v>329</v>
      </c>
      <c r="E109" s="24" t="s">
        <v>10</v>
      </c>
      <c r="F109" s="30" t="s">
        <v>455</v>
      </c>
      <c r="G109" s="31" t="s">
        <v>456</v>
      </c>
      <c r="H109" s="64" t="s">
        <v>47</v>
      </c>
      <c r="I109" s="65">
        <v>5</v>
      </c>
      <c r="J109" s="64" t="s">
        <v>1</v>
      </c>
      <c r="K109" s="64">
        <v>219</v>
      </c>
      <c r="L109" s="66">
        <f t="shared" si="20"/>
        <v>1095</v>
      </c>
      <c r="M109" s="5">
        <f t="shared" si="14"/>
        <v>292380.7</v>
      </c>
      <c r="N109" s="81" t="s">
        <v>485</v>
      </c>
      <c r="O109" s="64">
        <f>2+2+1</f>
        <v>5</v>
      </c>
      <c r="P109" s="67">
        <f t="shared" si="12"/>
        <v>0</v>
      </c>
      <c r="Q109" s="68" t="s">
        <v>486</v>
      </c>
      <c r="R109" s="68"/>
      <c r="S109" s="69"/>
      <c r="T109" s="69"/>
    </row>
    <row r="110" spans="1:20" ht="29" x14ac:dyDescent="0.35">
      <c r="A110" s="70">
        <v>44285</v>
      </c>
      <c r="B110" s="71">
        <f>MONTH(A110)</f>
        <v>3</v>
      </c>
      <c r="C110" s="72">
        <f t="shared" si="24"/>
        <v>2021</v>
      </c>
      <c r="D110" s="104" t="s">
        <v>331</v>
      </c>
      <c r="E110" s="107" t="s">
        <v>10</v>
      </c>
      <c r="F110" s="73" t="s">
        <v>334</v>
      </c>
      <c r="G110" s="73" t="s">
        <v>334</v>
      </c>
      <c r="H110" s="64" t="s">
        <v>51</v>
      </c>
      <c r="I110" s="65">
        <v>2</v>
      </c>
      <c r="J110" s="64" t="s">
        <v>0</v>
      </c>
      <c r="K110" s="64">
        <v>1620</v>
      </c>
      <c r="L110" s="66">
        <f t="shared" si="20"/>
        <v>3240</v>
      </c>
      <c r="M110" s="5">
        <f t="shared" si="14"/>
        <v>295620.7</v>
      </c>
      <c r="N110" s="75" t="s">
        <v>333</v>
      </c>
      <c r="O110" s="64">
        <v>2</v>
      </c>
      <c r="P110" s="67">
        <f t="shared" si="12"/>
        <v>0</v>
      </c>
      <c r="Q110" s="64" t="s">
        <v>332</v>
      </c>
      <c r="R110" s="68"/>
    </row>
    <row r="111" spans="1:20" x14ac:dyDescent="0.35">
      <c r="A111" s="70">
        <v>44287</v>
      </c>
      <c r="B111" s="71">
        <f>MONTH(A111)</f>
        <v>4</v>
      </c>
      <c r="C111" s="72">
        <f t="shared" si="24"/>
        <v>2021</v>
      </c>
      <c r="D111" s="104" t="s">
        <v>366</v>
      </c>
      <c r="E111" s="107" t="s">
        <v>10</v>
      </c>
      <c r="F111" s="76" t="s">
        <v>29</v>
      </c>
      <c r="G111" s="40" t="s">
        <v>29</v>
      </c>
      <c r="H111" s="64" t="s">
        <v>47</v>
      </c>
      <c r="I111" s="65">
        <v>5</v>
      </c>
      <c r="J111" s="64" t="s">
        <v>0</v>
      </c>
      <c r="K111" s="77">
        <v>1650</v>
      </c>
      <c r="L111" s="66">
        <f t="shared" si="20"/>
        <v>8250</v>
      </c>
      <c r="M111" s="5">
        <f t="shared" si="14"/>
        <v>303870.7</v>
      </c>
      <c r="N111" s="75" t="s">
        <v>337</v>
      </c>
      <c r="O111" s="64">
        <v>5</v>
      </c>
      <c r="P111" s="67">
        <f t="shared" si="12"/>
        <v>0</v>
      </c>
      <c r="Q111" s="64" t="s">
        <v>338</v>
      </c>
      <c r="R111" s="68"/>
    </row>
    <row r="112" spans="1:20" ht="29" x14ac:dyDescent="0.35">
      <c r="A112" s="70">
        <v>44291</v>
      </c>
      <c r="B112" s="71">
        <f t="shared" ref="B112:B116" si="25">MONTH(A112)</f>
        <v>4</v>
      </c>
      <c r="C112" s="72">
        <f t="shared" ref="C112:C116" si="26">YEAR(A112)</f>
        <v>2021</v>
      </c>
      <c r="D112" s="104" t="s">
        <v>367</v>
      </c>
      <c r="E112" s="107" t="s">
        <v>10</v>
      </c>
      <c r="F112" s="76" t="s">
        <v>29</v>
      </c>
      <c r="G112" s="40" t="s">
        <v>29</v>
      </c>
      <c r="H112" s="64" t="s">
        <v>47</v>
      </c>
      <c r="I112" s="65">
        <v>10</v>
      </c>
      <c r="J112" s="64" t="s">
        <v>0</v>
      </c>
      <c r="K112" s="77">
        <v>1650</v>
      </c>
      <c r="L112" s="66">
        <f t="shared" si="20"/>
        <v>16500</v>
      </c>
      <c r="M112" s="5">
        <f t="shared" si="14"/>
        <v>320370.7</v>
      </c>
      <c r="N112" s="81" t="s">
        <v>363</v>
      </c>
      <c r="O112" s="64">
        <f>1+2+5+2</f>
        <v>10</v>
      </c>
      <c r="P112" s="67">
        <f t="shared" si="12"/>
        <v>0</v>
      </c>
      <c r="Q112" s="68" t="s">
        <v>364</v>
      </c>
      <c r="R112" s="68"/>
    </row>
    <row r="113" spans="1:18" ht="29" x14ac:dyDescent="0.35">
      <c r="A113" s="70">
        <v>44291</v>
      </c>
      <c r="B113" s="71">
        <f t="shared" si="25"/>
        <v>4</v>
      </c>
      <c r="C113" s="72">
        <f t="shared" si="26"/>
        <v>2021</v>
      </c>
      <c r="D113" s="104" t="s">
        <v>367</v>
      </c>
      <c r="E113" s="107" t="s">
        <v>10</v>
      </c>
      <c r="F113" s="39" t="s">
        <v>140</v>
      </c>
      <c r="G113" s="40" t="s">
        <v>140</v>
      </c>
      <c r="H113" s="64" t="s">
        <v>47</v>
      </c>
      <c r="I113" s="65">
        <v>2</v>
      </c>
      <c r="J113" s="64" t="s">
        <v>18</v>
      </c>
      <c r="K113" s="64">
        <v>230</v>
      </c>
      <c r="L113" s="66">
        <f t="shared" si="20"/>
        <v>460</v>
      </c>
      <c r="M113" s="5">
        <f t="shared" si="14"/>
        <v>320830.7</v>
      </c>
      <c r="N113" s="78" t="s">
        <v>341</v>
      </c>
      <c r="O113" s="64">
        <v>2</v>
      </c>
      <c r="P113" s="67">
        <f t="shared" si="12"/>
        <v>0</v>
      </c>
      <c r="Q113" s="64" t="s">
        <v>342</v>
      </c>
      <c r="R113" s="68"/>
    </row>
    <row r="114" spans="1:18" ht="29" x14ac:dyDescent="0.35">
      <c r="A114" s="70">
        <v>44292</v>
      </c>
      <c r="B114" s="71">
        <f t="shared" si="25"/>
        <v>4</v>
      </c>
      <c r="C114" s="72">
        <f t="shared" si="26"/>
        <v>2021</v>
      </c>
      <c r="D114" s="97" t="s">
        <v>368</v>
      </c>
      <c r="E114" s="107" t="s">
        <v>10</v>
      </c>
      <c r="F114" s="39" t="s">
        <v>141</v>
      </c>
      <c r="G114" s="40" t="s">
        <v>141</v>
      </c>
      <c r="H114" s="23" t="s">
        <v>47</v>
      </c>
      <c r="I114" s="12">
        <v>5</v>
      </c>
      <c r="J114" t="s">
        <v>18</v>
      </c>
      <c r="K114" s="64">
        <v>222</v>
      </c>
      <c r="L114" s="66">
        <f t="shared" si="20"/>
        <v>1110</v>
      </c>
      <c r="M114" s="5">
        <f t="shared" si="14"/>
        <v>321940.7</v>
      </c>
      <c r="N114" s="78" t="s">
        <v>478</v>
      </c>
      <c r="O114" s="64">
        <f>1+4</f>
        <v>5</v>
      </c>
      <c r="P114" s="67">
        <f t="shared" si="12"/>
        <v>0</v>
      </c>
      <c r="Q114" s="64" t="s">
        <v>479</v>
      </c>
      <c r="R114" s="68"/>
    </row>
    <row r="115" spans="1:18" ht="29" x14ac:dyDescent="0.35">
      <c r="A115" s="79" t="s">
        <v>349</v>
      </c>
      <c r="B115" s="51">
        <f t="shared" si="25"/>
        <v>4</v>
      </c>
      <c r="C115" s="11">
        <f t="shared" si="26"/>
        <v>2021</v>
      </c>
      <c r="D115" s="97" t="s">
        <v>351</v>
      </c>
      <c r="E115" s="107" t="s">
        <v>339</v>
      </c>
      <c r="F115" s="76" t="s">
        <v>356</v>
      </c>
      <c r="G115" s="39" t="s">
        <v>356</v>
      </c>
      <c r="H115" s="2" t="s">
        <v>51</v>
      </c>
      <c r="I115" s="12">
        <v>6</v>
      </c>
      <c r="J115" s="2" t="s">
        <v>0</v>
      </c>
      <c r="K115" s="9">
        <v>1672</v>
      </c>
      <c r="L115" s="66">
        <f t="shared" si="20"/>
        <v>10032</v>
      </c>
      <c r="M115" s="5">
        <f t="shared" si="14"/>
        <v>331972.7</v>
      </c>
      <c r="N115" s="86" t="s">
        <v>414</v>
      </c>
      <c r="O115" s="64">
        <f>1+3+1+1</f>
        <v>6</v>
      </c>
      <c r="P115" s="67">
        <f t="shared" si="12"/>
        <v>0</v>
      </c>
      <c r="Q115" s="68" t="s">
        <v>406</v>
      </c>
      <c r="R115" s="68"/>
    </row>
    <row r="116" spans="1:18" ht="29" x14ac:dyDescent="0.35">
      <c r="A116" s="79" t="s">
        <v>349</v>
      </c>
      <c r="B116" s="51">
        <f t="shared" si="25"/>
        <v>4</v>
      </c>
      <c r="C116" s="11">
        <f t="shared" si="26"/>
        <v>2021</v>
      </c>
      <c r="D116" s="71" t="s">
        <v>351</v>
      </c>
      <c r="E116" s="107" t="s">
        <v>339</v>
      </c>
      <c r="F116" s="76" t="s">
        <v>357</v>
      </c>
      <c r="G116" s="40" t="s">
        <v>357</v>
      </c>
      <c r="H116" s="37" t="s">
        <v>51</v>
      </c>
      <c r="I116" s="12">
        <v>2</v>
      </c>
      <c r="J116" t="s">
        <v>0</v>
      </c>
      <c r="K116" s="77">
        <v>1672</v>
      </c>
      <c r="L116" s="66">
        <f t="shared" ref="L116:L132" si="27">SUM(I116*K116)</f>
        <v>3344</v>
      </c>
      <c r="M116" s="5">
        <f t="shared" si="14"/>
        <v>335316.7</v>
      </c>
      <c r="N116" s="75" t="s">
        <v>353</v>
      </c>
      <c r="O116" s="64">
        <f>1+1</f>
        <v>2</v>
      </c>
      <c r="P116" s="67">
        <f t="shared" si="12"/>
        <v>0</v>
      </c>
      <c r="Q116" s="64" t="s">
        <v>354</v>
      </c>
      <c r="R116" s="68"/>
    </row>
    <row r="117" spans="1:18" ht="29" x14ac:dyDescent="0.35">
      <c r="A117" s="70">
        <v>44294</v>
      </c>
      <c r="B117" s="51">
        <f t="shared" ref="B117" si="28">MONTH(A117)</f>
        <v>4</v>
      </c>
      <c r="C117" s="11">
        <f t="shared" ref="C117" si="29">YEAR(A117)</f>
        <v>2021</v>
      </c>
      <c r="D117" s="97" t="s">
        <v>369</v>
      </c>
      <c r="E117" s="107" t="s">
        <v>10</v>
      </c>
      <c r="F117" s="76" t="s">
        <v>233</v>
      </c>
      <c r="G117" s="40" t="s">
        <v>233</v>
      </c>
      <c r="H117" s="37" t="s">
        <v>47</v>
      </c>
      <c r="I117" s="12">
        <v>2</v>
      </c>
      <c r="J117" s="64" t="s">
        <v>217</v>
      </c>
      <c r="K117" s="77">
        <v>290</v>
      </c>
      <c r="L117" s="66">
        <f t="shared" si="27"/>
        <v>580</v>
      </c>
      <c r="M117" s="5">
        <f t="shared" si="14"/>
        <v>335896.7</v>
      </c>
      <c r="N117" s="75" t="s">
        <v>337</v>
      </c>
      <c r="O117" s="64">
        <v>2</v>
      </c>
      <c r="P117" s="67">
        <f t="shared" si="12"/>
        <v>0</v>
      </c>
      <c r="Q117" s="64" t="s">
        <v>343</v>
      </c>
      <c r="R117" s="68" t="s">
        <v>344</v>
      </c>
    </row>
    <row r="118" spans="1:18" x14ac:dyDescent="0.35">
      <c r="A118" s="70">
        <v>44306</v>
      </c>
      <c r="B118" s="51">
        <f t="shared" ref="B118:B119" si="30">MONTH(A118)</f>
        <v>4</v>
      </c>
      <c r="C118" s="11">
        <f t="shared" ref="C118:C119" si="31">YEAR(A118)</f>
        <v>2021</v>
      </c>
      <c r="D118" s="97" t="s">
        <v>370</v>
      </c>
      <c r="E118" s="107" t="s">
        <v>10</v>
      </c>
      <c r="F118" s="76" t="s">
        <v>29</v>
      </c>
      <c r="G118" s="40" t="s">
        <v>29</v>
      </c>
      <c r="H118" s="64" t="s">
        <v>47</v>
      </c>
      <c r="I118" s="65">
        <v>6</v>
      </c>
      <c r="J118" s="64" t="s">
        <v>0</v>
      </c>
      <c r="K118" s="77">
        <v>1650</v>
      </c>
      <c r="L118" s="66">
        <f t="shared" si="27"/>
        <v>9900</v>
      </c>
      <c r="M118" s="5">
        <f t="shared" si="14"/>
        <v>345796.7</v>
      </c>
      <c r="N118" s="78" t="s">
        <v>388</v>
      </c>
      <c r="O118" s="64">
        <f>3+3</f>
        <v>6</v>
      </c>
      <c r="P118" s="67">
        <f t="shared" si="12"/>
        <v>0</v>
      </c>
      <c r="Q118" s="64" t="s">
        <v>387</v>
      </c>
      <c r="R118" s="68"/>
    </row>
    <row r="119" spans="1:18" ht="145" x14ac:dyDescent="0.35">
      <c r="A119" s="70">
        <v>44306</v>
      </c>
      <c r="B119" s="51">
        <f t="shared" si="30"/>
        <v>4</v>
      </c>
      <c r="C119" s="11">
        <f t="shared" si="31"/>
        <v>2021</v>
      </c>
      <c r="D119" s="97" t="s">
        <v>370</v>
      </c>
      <c r="E119" s="12" t="s">
        <v>10</v>
      </c>
      <c r="F119" s="39" t="s">
        <v>28</v>
      </c>
      <c r="G119" s="39" t="s">
        <v>28</v>
      </c>
      <c r="H119" s="2" t="s">
        <v>47</v>
      </c>
      <c r="I119" s="12">
        <v>80</v>
      </c>
      <c r="J119" s="2" t="s">
        <v>30</v>
      </c>
      <c r="K119" s="9">
        <v>30</v>
      </c>
      <c r="L119" s="66">
        <f t="shared" si="27"/>
        <v>2400</v>
      </c>
      <c r="M119" s="5">
        <f t="shared" si="14"/>
        <v>348196.7</v>
      </c>
      <c r="N119" s="81" t="s">
        <v>523</v>
      </c>
      <c r="O119" s="64">
        <f>1+4+10+3+5+6+2+1+7+6+10+6+5+5+5+4</f>
        <v>80</v>
      </c>
      <c r="P119" s="67">
        <f t="shared" si="12"/>
        <v>0</v>
      </c>
      <c r="Q119" s="68" t="s">
        <v>524</v>
      </c>
      <c r="R119" s="68"/>
    </row>
    <row r="120" spans="1:18" x14ac:dyDescent="0.35">
      <c r="A120" s="70" t="s">
        <v>350</v>
      </c>
      <c r="B120" s="51">
        <v>4</v>
      </c>
      <c r="C120" s="11">
        <v>2021</v>
      </c>
      <c r="D120" s="97" t="s">
        <v>352</v>
      </c>
      <c r="E120" s="65" t="s">
        <v>339</v>
      </c>
      <c r="F120" s="76" t="s">
        <v>358</v>
      </c>
      <c r="G120" s="40" t="s">
        <v>358</v>
      </c>
      <c r="H120" s="37" t="s">
        <v>51</v>
      </c>
      <c r="I120" s="12">
        <v>2</v>
      </c>
      <c r="J120" t="s">
        <v>0</v>
      </c>
      <c r="K120" s="77">
        <v>1628</v>
      </c>
      <c r="L120" s="66">
        <f t="shared" si="27"/>
        <v>3256</v>
      </c>
      <c r="M120" s="5">
        <f t="shared" si="14"/>
        <v>351452.7</v>
      </c>
      <c r="N120" s="75" t="s">
        <v>407</v>
      </c>
      <c r="O120" s="64">
        <f>1+1</f>
        <v>2</v>
      </c>
      <c r="P120" s="67">
        <f t="shared" si="12"/>
        <v>0</v>
      </c>
      <c r="Q120" s="64" t="s">
        <v>408</v>
      </c>
      <c r="R120" s="68"/>
    </row>
    <row r="121" spans="1:18" ht="29" x14ac:dyDescent="0.35">
      <c r="A121" s="70">
        <v>44313</v>
      </c>
      <c r="B121" s="51">
        <f t="shared" ref="B121" si="32">MONTH(A121)</f>
        <v>4</v>
      </c>
      <c r="C121" s="11">
        <f t="shared" ref="C121" si="33">YEAR(A121)</f>
        <v>2021</v>
      </c>
      <c r="D121" s="97" t="s">
        <v>348</v>
      </c>
      <c r="E121" s="65" t="s">
        <v>347</v>
      </c>
      <c r="F121" s="30" t="s">
        <v>359</v>
      </c>
      <c r="G121" s="30" t="s">
        <v>359</v>
      </c>
      <c r="H121" s="37" t="s">
        <v>51</v>
      </c>
      <c r="I121" s="12">
        <v>10</v>
      </c>
      <c r="J121" t="s">
        <v>1</v>
      </c>
      <c r="K121" s="77">
        <v>405</v>
      </c>
      <c r="L121" s="66">
        <f t="shared" si="27"/>
        <v>4050</v>
      </c>
      <c r="M121" s="5">
        <f t="shared" si="14"/>
        <v>355502.7</v>
      </c>
      <c r="N121" s="86" t="s">
        <v>696</v>
      </c>
      <c r="O121" s="64">
        <f>5+4+1</f>
        <v>10</v>
      </c>
      <c r="P121" s="67">
        <f t="shared" si="12"/>
        <v>0</v>
      </c>
      <c r="Q121" s="68" t="s">
        <v>697</v>
      </c>
      <c r="R121" s="68"/>
    </row>
    <row r="122" spans="1:18" x14ac:dyDescent="0.35">
      <c r="A122" s="70">
        <v>44314</v>
      </c>
      <c r="B122" s="51">
        <f t="shared" ref="B122:B123" si="34">MONTH(A122)</f>
        <v>4</v>
      </c>
      <c r="C122" s="11">
        <f t="shared" ref="C122:C123" si="35">YEAR(A122)</f>
        <v>2021</v>
      </c>
      <c r="D122" s="97">
        <v>13101</v>
      </c>
      <c r="E122" s="65" t="s">
        <v>362</v>
      </c>
      <c r="F122" s="80" t="s">
        <v>675</v>
      </c>
      <c r="G122" s="80" t="s">
        <v>675</v>
      </c>
      <c r="H122" s="37" t="s">
        <v>51</v>
      </c>
      <c r="I122" s="12">
        <v>2</v>
      </c>
      <c r="J122" t="s">
        <v>18</v>
      </c>
      <c r="K122" s="77">
        <v>320</v>
      </c>
      <c r="L122" s="66">
        <f t="shared" si="27"/>
        <v>640</v>
      </c>
      <c r="M122" s="5">
        <f t="shared" si="14"/>
        <v>356142.7</v>
      </c>
      <c r="N122" s="78" t="s">
        <v>673</v>
      </c>
      <c r="O122" s="64">
        <f>1+1</f>
        <v>2</v>
      </c>
      <c r="P122" s="67">
        <f t="shared" si="12"/>
        <v>0</v>
      </c>
      <c r="Q122" s="68" t="s">
        <v>674</v>
      </c>
      <c r="R122" s="68"/>
    </row>
    <row r="123" spans="1:18" ht="43.5" x14ac:dyDescent="0.35">
      <c r="A123" s="70">
        <v>44319</v>
      </c>
      <c r="B123" s="51">
        <f t="shared" si="34"/>
        <v>5</v>
      </c>
      <c r="C123" s="11">
        <f t="shared" si="35"/>
        <v>2021</v>
      </c>
      <c r="D123" s="97" t="s">
        <v>383</v>
      </c>
      <c r="E123" s="107" t="s">
        <v>10</v>
      </c>
      <c r="F123" s="76" t="s">
        <v>29</v>
      </c>
      <c r="G123" s="40" t="s">
        <v>29</v>
      </c>
      <c r="H123" s="64" t="s">
        <v>47</v>
      </c>
      <c r="I123" s="65">
        <v>20</v>
      </c>
      <c r="J123" s="64" t="s">
        <v>0</v>
      </c>
      <c r="K123" s="77">
        <v>1650</v>
      </c>
      <c r="L123" s="66">
        <f t="shared" si="27"/>
        <v>33000</v>
      </c>
      <c r="M123" s="5">
        <f t="shared" si="14"/>
        <v>389142.7</v>
      </c>
      <c r="N123" s="86" t="s">
        <v>420</v>
      </c>
      <c r="O123" s="64">
        <f>1+6+5+2+6</f>
        <v>20</v>
      </c>
      <c r="P123" s="67">
        <f t="shared" si="12"/>
        <v>0</v>
      </c>
      <c r="Q123" s="68" t="s">
        <v>421</v>
      </c>
      <c r="R123" s="68"/>
    </row>
    <row r="124" spans="1:18" ht="43.5" x14ac:dyDescent="0.35">
      <c r="A124" s="70">
        <v>44319</v>
      </c>
      <c r="B124" s="51">
        <f t="shared" ref="B124:B146" si="36">MONTH(A124)</f>
        <v>5</v>
      </c>
      <c r="C124" s="11">
        <f t="shared" ref="C124:C146" si="37">YEAR(A124)</f>
        <v>2021</v>
      </c>
      <c r="D124" s="97" t="s">
        <v>383</v>
      </c>
      <c r="E124" s="107" t="s">
        <v>10</v>
      </c>
      <c r="F124" s="76" t="s">
        <v>19</v>
      </c>
      <c r="G124" s="39" t="s">
        <v>19</v>
      </c>
      <c r="H124" s="37" t="s">
        <v>47</v>
      </c>
      <c r="I124" s="12">
        <v>12</v>
      </c>
      <c r="J124" t="s">
        <v>25</v>
      </c>
      <c r="K124" s="77">
        <v>80</v>
      </c>
      <c r="L124" s="66">
        <f t="shared" si="27"/>
        <v>960</v>
      </c>
      <c r="M124" s="5">
        <f t="shared" si="14"/>
        <v>390102.7</v>
      </c>
      <c r="N124" s="86" t="s">
        <v>415</v>
      </c>
      <c r="O124" s="64">
        <f>1+1+4+1+5</f>
        <v>12</v>
      </c>
      <c r="P124" s="67">
        <f t="shared" si="12"/>
        <v>0</v>
      </c>
      <c r="Q124" s="68" t="s">
        <v>409</v>
      </c>
      <c r="R124" s="68"/>
    </row>
    <row r="125" spans="1:18" ht="29" x14ac:dyDescent="0.35">
      <c r="A125" s="70">
        <v>44319</v>
      </c>
      <c r="B125" s="51">
        <f t="shared" si="36"/>
        <v>5</v>
      </c>
      <c r="C125" s="11">
        <f t="shared" si="37"/>
        <v>2021</v>
      </c>
      <c r="D125" s="97" t="s">
        <v>383</v>
      </c>
      <c r="E125" s="107" t="s">
        <v>10</v>
      </c>
      <c r="F125" s="76" t="s">
        <v>233</v>
      </c>
      <c r="G125" s="40" t="s">
        <v>233</v>
      </c>
      <c r="H125" s="37" t="s">
        <v>47</v>
      </c>
      <c r="I125" s="12">
        <v>2</v>
      </c>
      <c r="J125" s="64" t="s">
        <v>217</v>
      </c>
      <c r="K125" s="77">
        <v>290</v>
      </c>
      <c r="L125" s="66">
        <f t="shared" si="27"/>
        <v>580</v>
      </c>
      <c r="M125" s="5">
        <f t="shared" si="14"/>
        <v>390682.7</v>
      </c>
      <c r="N125" s="78" t="s">
        <v>411</v>
      </c>
      <c r="O125" s="64">
        <f>1+1</f>
        <v>2</v>
      </c>
      <c r="P125" s="67">
        <f t="shared" si="12"/>
        <v>0</v>
      </c>
      <c r="Q125" s="68" t="s">
        <v>412</v>
      </c>
      <c r="R125" s="68"/>
    </row>
    <row r="126" spans="1:18" x14ac:dyDescent="0.35">
      <c r="A126" s="70">
        <v>44319</v>
      </c>
      <c r="B126" s="51">
        <f t="shared" si="36"/>
        <v>5</v>
      </c>
      <c r="C126" s="11">
        <f t="shared" si="37"/>
        <v>2021</v>
      </c>
      <c r="D126" s="97" t="s">
        <v>908</v>
      </c>
      <c r="E126" s="107" t="s">
        <v>158</v>
      </c>
      <c r="F126" s="64" t="s">
        <v>365</v>
      </c>
      <c r="G126" s="64" t="s">
        <v>365</v>
      </c>
      <c r="H126" s="64" t="s">
        <v>51</v>
      </c>
      <c r="I126" s="65">
        <v>1</v>
      </c>
      <c r="J126" s="64" t="s">
        <v>138</v>
      </c>
      <c r="K126" s="77">
        <v>28.8</v>
      </c>
      <c r="L126" s="66">
        <f t="shared" si="27"/>
        <v>28.8</v>
      </c>
      <c r="M126" s="5">
        <f t="shared" si="14"/>
        <v>390711.5</v>
      </c>
      <c r="N126" s="78" t="s">
        <v>379</v>
      </c>
      <c r="O126" s="64">
        <v>1</v>
      </c>
      <c r="P126" s="67">
        <f t="shared" si="12"/>
        <v>0</v>
      </c>
      <c r="Q126" s="68" t="s">
        <v>317</v>
      </c>
      <c r="R126" s="68"/>
    </row>
    <row r="127" spans="1:18" x14ac:dyDescent="0.35">
      <c r="A127" s="70">
        <v>44319</v>
      </c>
      <c r="B127" s="51">
        <f t="shared" si="36"/>
        <v>5</v>
      </c>
      <c r="C127" s="11">
        <f t="shared" si="37"/>
        <v>2021</v>
      </c>
      <c r="D127" s="97" t="s">
        <v>908</v>
      </c>
      <c r="E127" s="107" t="s">
        <v>158</v>
      </c>
      <c r="F127" s="82" t="s">
        <v>373</v>
      </c>
      <c r="G127" s="82" t="s">
        <v>373</v>
      </c>
      <c r="H127" s="83" t="s">
        <v>51</v>
      </c>
      <c r="I127" s="65">
        <v>1</v>
      </c>
      <c r="J127" s="69" t="s">
        <v>125</v>
      </c>
      <c r="K127" s="77">
        <v>38</v>
      </c>
      <c r="L127" s="66">
        <f t="shared" si="27"/>
        <v>38</v>
      </c>
      <c r="M127" s="5">
        <f t="shared" si="14"/>
        <v>390749.5</v>
      </c>
      <c r="N127" s="78" t="s">
        <v>222</v>
      </c>
      <c r="O127" s="64">
        <v>1</v>
      </c>
      <c r="P127" s="67">
        <f t="shared" si="12"/>
        <v>0</v>
      </c>
      <c r="Q127" s="81" t="s">
        <v>374</v>
      </c>
      <c r="R127" s="68"/>
    </row>
    <row r="128" spans="1:18" ht="29" x14ac:dyDescent="0.35">
      <c r="A128" s="70">
        <v>44326</v>
      </c>
      <c r="B128" s="51">
        <f t="shared" si="36"/>
        <v>5</v>
      </c>
      <c r="C128" s="11">
        <f t="shared" si="37"/>
        <v>2021</v>
      </c>
      <c r="D128" s="97" t="s">
        <v>384</v>
      </c>
      <c r="E128" s="24" t="s">
        <v>10</v>
      </c>
      <c r="F128" s="30" t="s">
        <v>376</v>
      </c>
      <c r="G128" s="31" t="s">
        <v>375</v>
      </c>
      <c r="H128" s="64" t="s">
        <v>47</v>
      </c>
      <c r="I128" s="65">
        <v>16</v>
      </c>
      <c r="J128" s="64" t="s">
        <v>1</v>
      </c>
      <c r="K128" s="77">
        <v>284.89999999999998</v>
      </c>
      <c r="L128" s="66">
        <f t="shared" si="27"/>
        <v>4558.3999999999996</v>
      </c>
      <c r="M128" s="5">
        <f t="shared" si="14"/>
        <v>395307.9</v>
      </c>
      <c r="N128" s="86" t="s">
        <v>467</v>
      </c>
      <c r="O128" s="64">
        <f>4+6+6</f>
        <v>16</v>
      </c>
      <c r="P128" s="67">
        <f t="shared" si="12"/>
        <v>0</v>
      </c>
      <c r="Q128" s="68" t="s">
        <v>468</v>
      </c>
      <c r="R128" s="68"/>
    </row>
    <row r="129" spans="1:21" ht="29" x14ac:dyDescent="0.35">
      <c r="A129" s="70">
        <v>44326</v>
      </c>
      <c r="B129" s="51">
        <f t="shared" si="36"/>
        <v>5</v>
      </c>
      <c r="C129" s="11">
        <f t="shared" si="37"/>
        <v>2021</v>
      </c>
      <c r="D129" s="97" t="s">
        <v>384</v>
      </c>
      <c r="E129" s="24" t="s">
        <v>10</v>
      </c>
      <c r="F129" s="30" t="s">
        <v>377</v>
      </c>
      <c r="G129" s="31" t="s">
        <v>378</v>
      </c>
      <c r="H129" s="64" t="s">
        <v>47</v>
      </c>
      <c r="I129" s="65">
        <v>16</v>
      </c>
      <c r="J129" s="69" t="s">
        <v>1</v>
      </c>
      <c r="K129" s="77">
        <v>462</v>
      </c>
      <c r="L129" s="66">
        <f t="shared" si="27"/>
        <v>7392</v>
      </c>
      <c r="M129" s="5">
        <f t="shared" si="14"/>
        <v>402699.9</v>
      </c>
      <c r="N129" s="86" t="s">
        <v>580</v>
      </c>
      <c r="O129" s="64">
        <f>3+4+4+5</f>
        <v>16</v>
      </c>
      <c r="P129" s="67">
        <f t="shared" si="12"/>
        <v>0</v>
      </c>
      <c r="Q129" s="68" t="s">
        <v>581</v>
      </c>
      <c r="R129" s="68"/>
    </row>
    <row r="130" spans="1:21" ht="43.5" x14ac:dyDescent="0.35">
      <c r="A130" s="70">
        <v>44334</v>
      </c>
      <c r="B130" s="51">
        <f t="shared" si="36"/>
        <v>5</v>
      </c>
      <c r="C130" s="11">
        <f t="shared" si="37"/>
        <v>2021</v>
      </c>
      <c r="D130" s="97" t="s">
        <v>385</v>
      </c>
      <c r="E130" s="12" t="s">
        <v>10</v>
      </c>
      <c r="F130" s="39" t="s">
        <v>64</v>
      </c>
      <c r="G130" s="39" t="s">
        <v>64</v>
      </c>
      <c r="H130" s="2" t="s">
        <v>47</v>
      </c>
      <c r="I130" s="12">
        <v>10</v>
      </c>
      <c r="J130" s="2" t="s">
        <v>0</v>
      </c>
      <c r="K130" s="77">
        <v>1727</v>
      </c>
      <c r="L130" s="66">
        <f t="shared" si="27"/>
        <v>17270</v>
      </c>
      <c r="M130" s="5">
        <f t="shared" si="14"/>
        <v>419969.9</v>
      </c>
      <c r="N130" s="86" t="s">
        <v>419</v>
      </c>
      <c r="O130" s="64">
        <f>1+3+4+1+1</f>
        <v>10</v>
      </c>
      <c r="P130" s="67">
        <f t="shared" si="12"/>
        <v>0</v>
      </c>
      <c r="Q130" s="68" t="s">
        <v>418</v>
      </c>
      <c r="R130" s="68"/>
    </row>
    <row r="131" spans="1:21" ht="29" x14ac:dyDescent="0.35">
      <c r="A131" s="70">
        <v>44334</v>
      </c>
      <c r="B131" s="51">
        <f t="shared" si="36"/>
        <v>5</v>
      </c>
      <c r="C131" s="11">
        <f t="shared" si="37"/>
        <v>2021</v>
      </c>
      <c r="D131" s="97" t="s">
        <v>385</v>
      </c>
      <c r="E131" s="12" t="s">
        <v>10</v>
      </c>
      <c r="F131" s="39" t="s">
        <v>31</v>
      </c>
      <c r="G131" s="39" t="s">
        <v>31</v>
      </c>
      <c r="H131" s="2" t="s">
        <v>47</v>
      </c>
      <c r="I131" s="12">
        <v>4</v>
      </c>
      <c r="J131" s="2" t="s">
        <v>0</v>
      </c>
      <c r="K131" s="77">
        <v>1650</v>
      </c>
      <c r="L131" s="66">
        <f t="shared" si="27"/>
        <v>6600</v>
      </c>
      <c r="M131" s="5">
        <f t="shared" si="14"/>
        <v>426569.9</v>
      </c>
      <c r="N131" s="86" t="s">
        <v>464</v>
      </c>
      <c r="O131" s="64">
        <f>1+1+2</f>
        <v>4</v>
      </c>
      <c r="P131" s="67">
        <f t="shared" si="12"/>
        <v>0</v>
      </c>
      <c r="Q131" s="68" t="s">
        <v>466</v>
      </c>
      <c r="R131" s="68" t="s">
        <v>463</v>
      </c>
    </row>
    <row r="132" spans="1:21" ht="29" x14ac:dyDescent="0.35">
      <c r="A132" s="70">
        <v>44334</v>
      </c>
      <c r="B132" s="51">
        <f t="shared" si="36"/>
        <v>5</v>
      </c>
      <c r="C132" s="11">
        <f t="shared" si="37"/>
        <v>2021</v>
      </c>
      <c r="D132" s="97" t="s">
        <v>386</v>
      </c>
      <c r="E132" s="107" t="s">
        <v>339</v>
      </c>
      <c r="F132" s="76" t="s">
        <v>356</v>
      </c>
      <c r="G132" s="39" t="s">
        <v>356</v>
      </c>
      <c r="H132" s="2" t="s">
        <v>51</v>
      </c>
      <c r="I132" s="65">
        <v>3</v>
      </c>
      <c r="J132" s="2" t="s">
        <v>0</v>
      </c>
      <c r="K132" s="77">
        <v>1683</v>
      </c>
      <c r="L132" s="66">
        <f t="shared" si="27"/>
        <v>5049</v>
      </c>
      <c r="M132" s="5">
        <f t="shared" si="14"/>
        <v>431618.9</v>
      </c>
      <c r="N132" s="78" t="s">
        <v>476</v>
      </c>
      <c r="O132" s="64">
        <f>1+1+1</f>
        <v>3</v>
      </c>
      <c r="P132" s="67">
        <f t="shared" si="12"/>
        <v>0</v>
      </c>
      <c r="Q132" s="68" t="s">
        <v>477</v>
      </c>
      <c r="R132" s="68"/>
    </row>
    <row r="133" spans="1:21" ht="43.5" x14ac:dyDescent="0.35">
      <c r="A133" s="70">
        <v>44468</v>
      </c>
      <c r="B133" s="51">
        <f t="shared" si="36"/>
        <v>9</v>
      </c>
      <c r="C133" s="11">
        <f t="shared" si="37"/>
        <v>2021</v>
      </c>
      <c r="D133" s="105" t="s">
        <v>526</v>
      </c>
      <c r="E133" s="24" t="s">
        <v>10</v>
      </c>
      <c r="F133" s="80" t="s">
        <v>29</v>
      </c>
      <c r="G133" s="31" t="s">
        <v>29</v>
      </c>
      <c r="H133" s="83" t="s">
        <v>47</v>
      </c>
      <c r="I133" s="65">
        <v>12</v>
      </c>
      <c r="J133" s="69" t="s">
        <v>0</v>
      </c>
      <c r="K133" s="77">
        <v>1617</v>
      </c>
      <c r="L133" s="66">
        <f>SUM(I133*K133)</f>
        <v>19404</v>
      </c>
      <c r="M133" s="5">
        <f t="shared" si="14"/>
        <v>451022.9</v>
      </c>
      <c r="N133" s="86" t="s">
        <v>487</v>
      </c>
      <c r="O133" s="64">
        <f>2+2+3+2+3</f>
        <v>12</v>
      </c>
      <c r="P133" s="67">
        <f t="shared" si="12"/>
        <v>0</v>
      </c>
      <c r="Q133" s="68" t="s">
        <v>488</v>
      </c>
      <c r="R133" s="68" t="s">
        <v>465</v>
      </c>
    </row>
    <row r="134" spans="1:21" ht="29" x14ac:dyDescent="0.35">
      <c r="A134" s="70">
        <v>44468</v>
      </c>
      <c r="B134" s="51">
        <f t="shared" si="36"/>
        <v>9</v>
      </c>
      <c r="C134" s="11">
        <f t="shared" si="37"/>
        <v>2021</v>
      </c>
      <c r="D134" s="105" t="s">
        <v>527</v>
      </c>
      <c r="E134" s="24" t="s">
        <v>10</v>
      </c>
      <c r="F134" s="80" t="s">
        <v>376</v>
      </c>
      <c r="G134" s="31" t="s">
        <v>375</v>
      </c>
      <c r="H134" s="83" t="s">
        <v>47</v>
      </c>
      <c r="I134" s="65">
        <v>32</v>
      </c>
      <c r="J134" s="69" t="s">
        <v>1</v>
      </c>
      <c r="K134" s="77">
        <v>281.2</v>
      </c>
      <c r="L134" s="66">
        <f t="shared" ref="L134:L172" si="38">SUM(I134*K134)</f>
        <v>8998.4</v>
      </c>
      <c r="M134" s="5">
        <f t="shared" si="14"/>
        <v>460021.30000000005</v>
      </c>
      <c r="N134" s="86" t="s">
        <v>492</v>
      </c>
      <c r="O134" s="64">
        <f>6+8+14+4</f>
        <v>32</v>
      </c>
      <c r="P134" s="67">
        <f t="shared" si="12"/>
        <v>0</v>
      </c>
      <c r="Q134" s="68" t="s">
        <v>493</v>
      </c>
      <c r="R134" s="68"/>
    </row>
    <row r="135" spans="1:21" ht="29" x14ac:dyDescent="0.35">
      <c r="A135" s="70">
        <v>44468</v>
      </c>
      <c r="B135" s="51">
        <f t="shared" si="36"/>
        <v>9</v>
      </c>
      <c r="C135" s="11">
        <f t="shared" si="37"/>
        <v>2021</v>
      </c>
      <c r="D135" s="105" t="s">
        <v>527</v>
      </c>
      <c r="E135" s="24" t="s">
        <v>10</v>
      </c>
      <c r="F135" s="80" t="s">
        <v>233</v>
      </c>
      <c r="G135" s="31" t="s">
        <v>233</v>
      </c>
      <c r="H135" s="83" t="s">
        <v>47</v>
      </c>
      <c r="I135" s="65">
        <v>2</v>
      </c>
      <c r="J135" s="69" t="s">
        <v>217</v>
      </c>
      <c r="K135" s="77">
        <v>290</v>
      </c>
      <c r="L135" s="66">
        <f t="shared" si="38"/>
        <v>580</v>
      </c>
      <c r="M135" s="5">
        <f t="shared" si="14"/>
        <v>460601.30000000005</v>
      </c>
      <c r="N135" s="78" t="s">
        <v>630</v>
      </c>
      <c r="O135" s="64">
        <f>1+1</f>
        <v>2</v>
      </c>
      <c r="P135" s="67">
        <f t="shared" si="12"/>
        <v>0</v>
      </c>
      <c r="Q135" s="68" t="s">
        <v>631</v>
      </c>
      <c r="R135" s="68"/>
    </row>
    <row r="136" spans="1:21" ht="58" x14ac:dyDescent="0.35">
      <c r="A136" s="70">
        <v>44468</v>
      </c>
      <c r="B136" s="51">
        <f t="shared" si="36"/>
        <v>9</v>
      </c>
      <c r="C136" s="11">
        <f t="shared" si="37"/>
        <v>2021</v>
      </c>
      <c r="D136" s="105" t="s">
        <v>527</v>
      </c>
      <c r="E136" s="24" t="s">
        <v>10</v>
      </c>
      <c r="F136" s="80" t="s">
        <v>405</v>
      </c>
      <c r="G136" s="31" t="s">
        <v>405</v>
      </c>
      <c r="H136" s="83" t="s">
        <v>51</v>
      </c>
      <c r="I136" s="65">
        <v>12</v>
      </c>
      <c r="J136" s="69" t="s">
        <v>25</v>
      </c>
      <c r="K136" s="77">
        <v>60</v>
      </c>
      <c r="L136" s="66">
        <f t="shared" si="38"/>
        <v>720</v>
      </c>
      <c r="M136" s="5">
        <f t="shared" si="14"/>
        <v>461321.30000000005</v>
      </c>
      <c r="N136" s="86" t="s">
        <v>470</v>
      </c>
      <c r="O136" s="64">
        <f>3+2+2+1+1+2+1</f>
        <v>12</v>
      </c>
      <c r="P136" s="67">
        <f t="shared" si="12"/>
        <v>0</v>
      </c>
      <c r="Q136" s="68" t="s">
        <v>469</v>
      </c>
      <c r="R136" s="68"/>
    </row>
    <row r="137" spans="1:21" ht="43.5" x14ac:dyDescent="0.35">
      <c r="A137" s="70">
        <v>44468</v>
      </c>
      <c r="B137" s="51">
        <f t="shared" si="36"/>
        <v>9</v>
      </c>
      <c r="C137" s="11">
        <f t="shared" si="37"/>
        <v>2021</v>
      </c>
      <c r="D137" s="105" t="s">
        <v>527</v>
      </c>
      <c r="E137" s="12" t="s">
        <v>10</v>
      </c>
      <c r="F137" s="39" t="s">
        <v>64</v>
      </c>
      <c r="G137" s="39" t="s">
        <v>64</v>
      </c>
      <c r="H137" s="2" t="s">
        <v>47</v>
      </c>
      <c r="I137" s="12">
        <v>10</v>
      </c>
      <c r="J137" s="2" t="s">
        <v>0</v>
      </c>
      <c r="K137" s="77">
        <v>1650</v>
      </c>
      <c r="L137" s="66">
        <f t="shared" si="38"/>
        <v>16500</v>
      </c>
      <c r="M137" s="5">
        <f t="shared" si="14"/>
        <v>477821.30000000005</v>
      </c>
      <c r="N137" s="86" t="s">
        <v>505</v>
      </c>
      <c r="O137" s="64">
        <f>2+2+3+1+2</f>
        <v>10</v>
      </c>
      <c r="P137" s="67">
        <f t="shared" si="12"/>
        <v>0</v>
      </c>
      <c r="Q137" s="68" t="s">
        <v>506</v>
      </c>
      <c r="R137" s="68"/>
      <c r="U137" s="69" t="s">
        <v>904</v>
      </c>
    </row>
    <row r="138" spans="1:21" ht="72.5" x14ac:dyDescent="0.35">
      <c r="A138" s="70">
        <v>44473</v>
      </c>
      <c r="B138" s="51">
        <f t="shared" si="36"/>
        <v>10</v>
      </c>
      <c r="C138" s="11">
        <f t="shared" si="37"/>
        <v>2021</v>
      </c>
      <c r="D138" s="97" t="s">
        <v>437</v>
      </c>
      <c r="E138" s="24" t="s">
        <v>347</v>
      </c>
      <c r="F138" s="80" t="s">
        <v>359</v>
      </c>
      <c r="G138" s="31" t="s">
        <v>359</v>
      </c>
      <c r="H138" s="83" t="s">
        <v>51</v>
      </c>
      <c r="I138" s="65">
        <v>10</v>
      </c>
      <c r="J138" s="69" t="s">
        <v>1</v>
      </c>
      <c r="K138" s="77">
        <v>432</v>
      </c>
      <c r="L138" s="66">
        <f t="shared" si="38"/>
        <v>4320</v>
      </c>
      <c r="M138" s="5">
        <f t="shared" si="14"/>
        <v>482141.30000000005</v>
      </c>
      <c r="N138" s="86" t="s">
        <v>698</v>
      </c>
      <c r="O138" s="64">
        <f>2+1+1+1+2+1+2</f>
        <v>10</v>
      </c>
      <c r="P138" s="67">
        <f t="shared" ref="P138:P172" si="39">I138-O138</f>
        <v>0</v>
      </c>
      <c r="Q138" s="68" t="s">
        <v>699</v>
      </c>
      <c r="R138" s="68"/>
    </row>
    <row r="139" spans="1:21" ht="29" x14ac:dyDescent="0.35">
      <c r="A139" s="70">
        <v>44476</v>
      </c>
      <c r="B139" s="51">
        <f t="shared" si="36"/>
        <v>10</v>
      </c>
      <c r="C139" s="11">
        <f t="shared" si="37"/>
        <v>2021</v>
      </c>
      <c r="D139" s="105" t="s">
        <v>433</v>
      </c>
      <c r="E139" s="24" t="s">
        <v>10</v>
      </c>
      <c r="F139" s="80" t="s">
        <v>376</v>
      </c>
      <c r="G139" s="31" t="s">
        <v>375</v>
      </c>
      <c r="H139" s="83" t="s">
        <v>47</v>
      </c>
      <c r="I139" s="65">
        <v>25</v>
      </c>
      <c r="J139" s="69" t="s">
        <v>1</v>
      </c>
      <c r="K139" s="77">
        <v>281.2</v>
      </c>
      <c r="L139" s="66">
        <f t="shared" si="38"/>
        <v>7030</v>
      </c>
      <c r="M139" s="5">
        <f t="shared" si="14"/>
        <v>489171.30000000005</v>
      </c>
      <c r="N139" s="86" t="s">
        <v>513</v>
      </c>
      <c r="O139" s="64">
        <f>2+4+15+4</f>
        <v>25</v>
      </c>
      <c r="P139" s="67">
        <f t="shared" si="39"/>
        <v>0</v>
      </c>
      <c r="Q139" s="68" t="s">
        <v>516</v>
      </c>
      <c r="R139" s="68"/>
    </row>
    <row r="140" spans="1:21" ht="29" x14ac:dyDescent="0.35">
      <c r="A140" s="70">
        <v>44477</v>
      </c>
      <c r="B140" s="51">
        <f t="shared" si="36"/>
        <v>10</v>
      </c>
      <c r="C140" s="11">
        <f t="shared" si="37"/>
        <v>2021</v>
      </c>
      <c r="D140" s="97" t="s">
        <v>758</v>
      </c>
      <c r="E140" s="24" t="s">
        <v>424</v>
      </c>
      <c r="F140" s="80" t="s">
        <v>426</v>
      </c>
      <c r="G140" s="80" t="s">
        <v>426</v>
      </c>
      <c r="H140" s="83" t="s">
        <v>51</v>
      </c>
      <c r="I140" s="65">
        <v>1</v>
      </c>
      <c r="J140" s="69" t="s">
        <v>18</v>
      </c>
      <c r="K140" s="77">
        <v>800</v>
      </c>
      <c r="L140" s="66">
        <f t="shared" si="38"/>
        <v>800</v>
      </c>
      <c r="M140" s="5">
        <f t="shared" si="14"/>
        <v>489971.30000000005</v>
      </c>
      <c r="N140" s="78" t="s">
        <v>425</v>
      </c>
      <c r="O140" s="64">
        <v>1</v>
      </c>
      <c r="P140" s="67">
        <f t="shared" si="39"/>
        <v>0</v>
      </c>
      <c r="Q140" s="68" t="s">
        <v>438</v>
      </c>
      <c r="R140" s="68"/>
    </row>
    <row r="141" spans="1:21" ht="29" x14ac:dyDescent="0.35">
      <c r="A141" s="70">
        <v>44481</v>
      </c>
      <c r="B141" s="51">
        <f t="shared" si="36"/>
        <v>10</v>
      </c>
      <c r="C141" s="11">
        <f t="shared" si="37"/>
        <v>2021</v>
      </c>
      <c r="D141" s="105" t="s">
        <v>434</v>
      </c>
      <c r="E141" s="24" t="s">
        <v>10</v>
      </c>
      <c r="F141" s="80" t="s">
        <v>436</v>
      </c>
      <c r="G141" s="80" t="s">
        <v>436</v>
      </c>
      <c r="H141" s="83" t="s">
        <v>51</v>
      </c>
      <c r="I141" s="65">
        <v>4</v>
      </c>
      <c r="J141" s="69" t="s">
        <v>0</v>
      </c>
      <c r="K141" s="77">
        <v>1676.25</v>
      </c>
      <c r="L141" s="66">
        <f t="shared" si="38"/>
        <v>6705</v>
      </c>
      <c r="M141" s="5">
        <f t="shared" si="14"/>
        <v>496676.30000000005</v>
      </c>
      <c r="N141" s="78" t="s">
        <v>439</v>
      </c>
      <c r="O141" s="64">
        <v>4</v>
      </c>
      <c r="P141" s="67">
        <f t="shared" si="39"/>
        <v>0</v>
      </c>
      <c r="Q141" s="68"/>
      <c r="R141" s="68"/>
    </row>
    <row r="142" spans="1:21" ht="29" x14ac:dyDescent="0.35">
      <c r="A142" s="70">
        <v>44481</v>
      </c>
      <c r="B142" s="51">
        <f t="shared" si="36"/>
        <v>10</v>
      </c>
      <c r="C142" s="11">
        <f t="shared" si="37"/>
        <v>2021</v>
      </c>
      <c r="D142" s="105" t="s">
        <v>434</v>
      </c>
      <c r="E142" s="24" t="s">
        <v>10</v>
      </c>
      <c r="F142" s="80" t="s">
        <v>376</v>
      </c>
      <c r="G142" s="31" t="s">
        <v>375</v>
      </c>
      <c r="H142" s="83" t="s">
        <v>51</v>
      </c>
      <c r="I142" s="65">
        <v>10</v>
      </c>
      <c r="J142" s="69" t="s">
        <v>1</v>
      </c>
      <c r="K142" s="77">
        <v>307.10000000000002</v>
      </c>
      <c r="L142" s="66">
        <f t="shared" si="38"/>
        <v>3071</v>
      </c>
      <c r="M142" s="5">
        <f t="shared" si="14"/>
        <v>499747.30000000005</v>
      </c>
      <c r="N142" s="78" t="s">
        <v>439</v>
      </c>
      <c r="O142" s="64">
        <v>10</v>
      </c>
      <c r="P142" s="67">
        <f t="shared" si="39"/>
        <v>0</v>
      </c>
      <c r="Q142" s="68" t="s">
        <v>441</v>
      </c>
      <c r="R142" s="68"/>
    </row>
    <row r="143" spans="1:21" x14ac:dyDescent="0.35">
      <c r="A143" s="70">
        <v>44481</v>
      </c>
      <c r="B143" s="51">
        <f t="shared" si="36"/>
        <v>10</v>
      </c>
      <c r="C143" s="11">
        <f t="shared" si="37"/>
        <v>2021</v>
      </c>
      <c r="D143" s="105" t="s">
        <v>434</v>
      </c>
      <c r="E143" s="24" t="s">
        <v>10</v>
      </c>
      <c r="F143" s="80" t="s">
        <v>405</v>
      </c>
      <c r="G143" s="31" t="s">
        <v>405</v>
      </c>
      <c r="H143" s="83" t="s">
        <v>51</v>
      </c>
      <c r="I143" s="65">
        <v>4</v>
      </c>
      <c r="J143" s="69" t="s">
        <v>25</v>
      </c>
      <c r="K143" s="77">
        <v>60</v>
      </c>
      <c r="L143" s="66">
        <f t="shared" si="38"/>
        <v>240</v>
      </c>
      <c r="M143" s="5">
        <f t="shared" si="14"/>
        <v>499987.30000000005</v>
      </c>
      <c r="N143" s="78" t="s">
        <v>453</v>
      </c>
      <c r="O143" s="64">
        <v>4</v>
      </c>
      <c r="P143" s="67">
        <f t="shared" si="39"/>
        <v>0</v>
      </c>
      <c r="Q143" s="68" t="s">
        <v>440</v>
      </c>
      <c r="R143" s="68"/>
    </row>
    <row r="144" spans="1:21" ht="29" x14ac:dyDescent="0.35">
      <c r="A144" s="70">
        <v>44481</v>
      </c>
      <c r="B144" s="51">
        <f t="shared" si="36"/>
        <v>10</v>
      </c>
      <c r="C144" s="11">
        <f t="shared" si="37"/>
        <v>2021</v>
      </c>
      <c r="D144" s="105" t="s">
        <v>434</v>
      </c>
      <c r="E144" s="24" t="s">
        <v>10</v>
      </c>
      <c r="F144" s="80" t="s">
        <v>435</v>
      </c>
      <c r="G144" s="80" t="s">
        <v>435</v>
      </c>
      <c r="H144" s="83" t="s">
        <v>51</v>
      </c>
      <c r="I144" s="65">
        <v>4</v>
      </c>
      <c r="J144" s="69" t="s">
        <v>1</v>
      </c>
      <c r="K144" s="77">
        <v>288</v>
      </c>
      <c r="L144" s="66">
        <f t="shared" si="38"/>
        <v>1152</v>
      </c>
      <c r="M144" s="5">
        <f t="shared" si="14"/>
        <v>501139.30000000005</v>
      </c>
      <c r="N144" s="78" t="s">
        <v>439</v>
      </c>
      <c r="O144" s="64">
        <v>4</v>
      </c>
      <c r="P144" s="67">
        <f t="shared" si="39"/>
        <v>0</v>
      </c>
      <c r="Q144" s="68" t="s">
        <v>440</v>
      </c>
      <c r="R144" s="68"/>
    </row>
    <row r="145" spans="1:18" ht="29" x14ac:dyDescent="0.35">
      <c r="A145" s="70">
        <v>44481</v>
      </c>
      <c r="B145" s="51">
        <f t="shared" si="36"/>
        <v>10</v>
      </c>
      <c r="C145" s="11">
        <f t="shared" si="37"/>
        <v>2021</v>
      </c>
      <c r="D145" s="105" t="s">
        <v>434</v>
      </c>
      <c r="E145" s="24" t="s">
        <v>10</v>
      </c>
      <c r="F145" s="80" t="s">
        <v>28</v>
      </c>
      <c r="G145" s="80" t="s">
        <v>28</v>
      </c>
      <c r="H145" s="83" t="s">
        <v>51</v>
      </c>
      <c r="I145" s="65">
        <v>2</v>
      </c>
      <c r="J145" s="69" t="s">
        <v>217</v>
      </c>
      <c r="K145" s="77">
        <v>30</v>
      </c>
      <c r="L145" s="66">
        <f t="shared" si="38"/>
        <v>60</v>
      </c>
      <c r="M145" s="5">
        <f t="shared" si="14"/>
        <v>501199.30000000005</v>
      </c>
      <c r="N145" s="78" t="s">
        <v>439</v>
      </c>
      <c r="O145" s="64">
        <v>2</v>
      </c>
      <c r="P145" s="67">
        <f t="shared" si="39"/>
        <v>0</v>
      </c>
      <c r="Q145" s="68" t="s">
        <v>442</v>
      </c>
      <c r="R145" s="68"/>
    </row>
    <row r="146" spans="1:18" x14ac:dyDescent="0.35">
      <c r="A146" s="70">
        <v>44483</v>
      </c>
      <c r="B146" s="51">
        <f t="shared" si="36"/>
        <v>10</v>
      </c>
      <c r="C146" s="11">
        <f t="shared" si="37"/>
        <v>2021</v>
      </c>
      <c r="D146" s="105" t="s">
        <v>528</v>
      </c>
      <c r="E146" s="24" t="s">
        <v>429</v>
      </c>
      <c r="F146" s="80" t="s">
        <v>431</v>
      </c>
      <c r="G146" s="80" t="s">
        <v>431</v>
      </c>
      <c r="H146" s="83" t="s">
        <v>51</v>
      </c>
      <c r="I146" s="65">
        <v>4</v>
      </c>
      <c r="J146" s="69" t="s">
        <v>0</v>
      </c>
      <c r="K146" s="77">
        <v>1760</v>
      </c>
      <c r="L146" s="66">
        <f t="shared" si="38"/>
        <v>7040</v>
      </c>
      <c r="M146" s="5">
        <f t="shared" si="14"/>
        <v>508239.30000000005</v>
      </c>
      <c r="N146" s="78" t="s">
        <v>497</v>
      </c>
      <c r="O146" s="64">
        <f>3+1</f>
        <v>4</v>
      </c>
      <c r="P146" s="67">
        <f t="shared" si="39"/>
        <v>0</v>
      </c>
      <c r="Q146" s="68" t="s">
        <v>498</v>
      </c>
      <c r="R146" s="68"/>
    </row>
    <row r="147" spans="1:18" ht="29" x14ac:dyDescent="0.35">
      <c r="A147" s="70">
        <v>44483</v>
      </c>
      <c r="B147" s="51">
        <f t="shared" ref="B147:B148" si="40">MONTH(A147)</f>
        <v>10</v>
      </c>
      <c r="C147" s="11">
        <f t="shared" ref="C147:C148" si="41">YEAR(A147)</f>
        <v>2021</v>
      </c>
      <c r="D147" s="105" t="s">
        <v>528</v>
      </c>
      <c r="E147" s="24" t="s">
        <v>429</v>
      </c>
      <c r="F147" s="80" t="s">
        <v>430</v>
      </c>
      <c r="G147" s="80" t="s">
        <v>430</v>
      </c>
      <c r="H147" s="83" t="s">
        <v>51</v>
      </c>
      <c r="I147" s="65">
        <v>10</v>
      </c>
      <c r="J147" s="69" t="s">
        <v>1</v>
      </c>
      <c r="K147" s="77">
        <v>468</v>
      </c>
      <c r="L147" s="66">
        <f t="shared" si="38"/>
        <v>4680</v>
      </c>
      <c r="M147" s="5">
        <f t="shared" si="14"/>
        <v>512919.30000000005</v>
      </c>
      <c r="N147" s="78" t="s">
        <v>443</v>
      </c>
      <c r="O147" s="64">
        <v>10</v>
      </c>
      <c r="P147" s="67">
        <f t="shared" si="39"/>
        <v>0</v>
      </c>
      <c r="Q147" s="68" t="s">
        <v>444</v>
      </c>
      <c r="R147" s="68"/>
    </row>
    <row r="148" spans="1:18" ht="43.5" x14ac:dyDescent="0.35">
      <c r="A148" s="70">
        <v>44483</v>
      </c>
      <c r="B148" s="51">
        <f t="shared" si="40"/>
        <v>10</v>
      </c>
      <c r="C148" s="11">
        <f t="shared" si="41"/>
        <v>2021</v>
      </c>
      <c r="D148" s="105" t="s">
        <v>529</v>
      </c>
      <c r="E148" s="24" t="s">
        <v>429</v>
      </c>
      <c r="F148" s="76" t="s">
        <v>432</v>
      </c>
      <c r="G148" s="76" t="s">
        <v>432</v>
      </c>
      <c r="H148" s="83" t="s">
        <v>51</v>
      </c>
      <c r="I148" s="65">
        <v>12</v>
      </c>
      <c r="J148" s="69" t="s">
        <v>125</v>
      </c>
      <c r="K148" s="77">
        <v>40</v>
      </c>
      <c r="L148" s="66">
        <f t="shared" si="38"/>
        <v>480</v>
      </c>
      <c r="M148" s="5">
        <f t="shared" si="14"/>
        <v>513399.30000000005</v>
      </c>
      <c r="N148" s="86" t="s">
        <v>617</v>
      </c>
      <c r="O148" s="64">
        <f>6+2+1+3</f>
        <v>12</v>
      </c>
      <c r="P148" s="67">
        <f t="shared" si="39"/>
        <v>0</v>
      </c>
      <c r="Q148" s="68" t="s">
        <v>618</v>
      </c>
      <c r="R148" s="68"/>
    </row>
    <row r="149" spans="1:18" ht="43.5" x14ac:dyDescent="0.35">
      <c r="A149" s="70">
        <v>44484</v>
      </c>
      <c r="B149" s="51">
        <f t="shared" ref="B149:B158" si="42">MONTH(A149)</f>
        <v>10</v>
      </c>
      <c r="C149" s="11">
        <f t="shared" ref="C149:C158" si="43">YEAR(A149)</f>
        <v>2021</v>
      </c>
      <c r="D149" s="97" t="s">
        <v>445</v>
      </c>
      <c r="E149" s="24" t="s">
        <v>10</v>
      </c>
      <c r="F149" s="76" t="s">
        <v>447</v>
      </c>
      <c r="G149" s="76" t="s">
        <v>447</v>
      </c>
      <c r="H149" s="83" t="s">
        <v>51</v>
      </c>
      <c r="I149" s="65">
        <v>3</v>
      </c>
      <c r="J149" s="69" t="s">
        <v>18</v>
      </c>
      <c r="K149" s="77">
        <v>500</v>
      </c>
      <c r="L149" s="66">
        <f t="shared" si="38"/>
        <v>1500</v>
      </c>
      <c r="M149" s="5">
        <f t="shared" si="14"/>
        <v>514899.30000000005</v>
      </c>
      <c r="N149" s="78" t="s">
        <v>448</v>
      </c>
      <c r="O149" s="64">
        <v>3</v>
      </c>
      <c r="P149" s="67">
        <f t="shared" si="39"/>
        <v>0</v>
      </c>
      <c r="Q149" s="68" t="s">
        <v>449</v>
      </c>
      <c r="R149" s="68"/>
    </row>
    <row r="150" spans="1:18" ht="29" x14ac:dyDescent="0.35">
      <c r="A150" s="70">
        <v>44484</v>
      </c>
      <c r="B150" s="51">
        <f>MONTH(A150)</f>
        <v>10</v>
      </c>
      <c r="C150" s="11">
        <f t="shared" si="43"/>
        <v>2021</v>
      </c>
      <c r="D150" s="97" t="s">
        <v>446</v>
      </c>
      <c r="E150" s="24" t="s">
        <v>10</v>
      </c>
      <c r="F150" s="80" t="s">
        <v>376</v>
      </c>
      <c r="G150" s="31" t="s">
        <v>375</v>
      </c>
      <c r="H150" s="83" t="s">
        <v>51</v>
      </c>
      <c r="I150" s="65">
        <v>2</v>
      </c>
      <c r="J150" s="69" t="s">
        <v>1</v>
      </c>
      <c r="K150" s="77">
        <v>307.10000000000002</v>
      </c>
      <c r="L150" s="66">
        <f t="shared" si="38"/>
        <v>614.20000000000005</v>
      </c>
      <c r="M150" s="5">
        <f t="shared" ref="M150:M213" si="44">SUM(M149+L150)</f>
        <v>515513.50000000006</v>
      </c>
      <c r="N150" s="78" t="s">
        <v>448</v>
      </c>
      <c r="O150" s="64">
        <v>2</v>
      </c>
      <c r="P150" s="67">
        <f t="shared" si="39"/>
        <v>0</v>
      </c>
      <c r="Q150" s="68" t="s">
        <v>449</v>
      </c>
      <c r="R150" s="68"/>
    </row>
    <row r="151" spans="1:18" ht="29" x14ac:dyDescent="0.35">
      <c r="A151" s="70">
        <v>44484</v>
      </c>
      <c r="B151" s="51">
        <f t="shared" si="42"/>
        <v>10</v>
      </c>
      <c r="C151" s="11">
        <f t="shared" si="43"/>
        <v>2021</v>
      </c>
      <c r="D151" s="97" t="s">
        <v>446</v>
      </c>
      <c r="E151" s="24" t="s">
        <v>10</v>
      </c>
      <c r="F151" s="80" t="s">
        <v>435</v>
      </c>
      <c r="G151" s="80" t="s">
        <v>435</v>
      </c>
      <c r="H151" s="83" t="s">
        <v>51</v>
      </c>
      <c r="I151" s="65">
        <v>2</v>
      </c>
      <c r="J151" s="69" t="s">
        <v>1</v>
      </c>
      <c r="K151" s="77">
        <v>288</v>
      </c>
      <c r="L151" s="66">
        <f t="shared" si="38"/>
        <v>576</v>
      </c>
      <c r="M151" s="5">
        <f t="shared" si="44"/>
        <v>516089.50000000006</v>
      </c>
      <c r="N151" s="78" t="s">
        <v>448</v>
      </c>
      <c r="O151" s="64">
        <v>2</v>
      </c>
      <c r="P151" s="67">
        <f t="shared" si="39"/>
        <v>0</v>
      </c>
      <c r="Q151" s="68" t="s">
        <v>452</v>
      </c>
      <c r="R151" s="68"/>
    </row>
    <row r="152" spans="1:18" ht="29" x14ac:dyDescent="0.35">
      <c r="A152" s="70">
        <v>44487</v>
      </c>
      <c r="B152" s="51">
        <f t="shared" si="42"/>
        <v>10</v>
      </c>
      <c r="C152" s="11">
        <f t="shared" si="43"/>
        <v>2021</v>
      </c>
      <c r="D152" s="105" t="s">
        <v>490</v>
      </c>
      <c r="E152" s="24" t="s">
        <v>429</v>
      </c>
      <c r="F152" s="80" t="s">
        <v>458</v>
      </c>
      <c r="G152" s="80" t="s">
        <v>458</v>
      </c>
      <c r="H152" s="83" t="s">
        <v>51</v>
      </c>
      <c r="I152" s="65">
        <v>9</v>
      </c>
      <c r="J152" s="69" t="s">
        <v>1</v>
      </c>
      <c r="K152" s="77">
        <v>270</v>
      </c>
      <c r="L152" s="66">
        <f t="shared" si="38"/>
        <v>2430</v>
      </c>
      <c r="M152" s="5">
        <f t="shared" si="44"/>
        <v>518519.50000000006</v>
      </c>
      <c r="N152" s="78" t="s">
        <v>454</v>
      </c>
      <c r="O152" s="64">
        <v>9</v>
      </c>
      <c r="P152" s="67">
        <f t="shared" si="39"/>
        <v>0</v>
      </c>
      <c r="Q152" s="68" t="s">
        <v>459</v>
      </c>
      <c r="R152" s="68"/>
    </row>
    <row r="153" spans="1:18" ht="101.5" x14ac:dyDescent="0.35">
      <c r="A153" s="70">
        <v>44488</v>
      </c>
      <c r="B153" s="51">
        <f t="shared" si="42"/>
        <v>10</v>
      </c>
      <c r="C153" s="11">
        <f t="shared" si="43"/>
        <v>2021</v>
      </c>
      <c r="D153" s="105">
        <v>18084</v>
      </c>
      <c r="E153" s="24" t="s">
        <v>461</v>
      </c>
      <c r="F153" s="76" t="s">
        <v>462</v>
      </c>
      <c r="G153" s="76" t="s">
        <v>462</v>
      </c>
      <c r="H153" s="83" t="s">
        <v>51</v>
      </c>
      <c r="I153" s="65">
        <v>12</v>
      </c>
      <c r="J153" s="69" t="s">
        <v>18</v>
      </c>
      <c r="K153" s="77">
        <v>700</v>
      </c>
      <c r="L153" s="66">
        <f t="shared" si="38"/>
        <v>8400</v>
      </c>
      <c r="M153" s="5">
        <f>SUM(M152+L153)</f>
        <v>526919.5</v>
      </c>
      <c r="N153" s="86" t="s">
        <v>714</v>
      </c>
      <c r="O153" s="64">
        <f>1+1+1+2+1+1+1+1+1+1+1</f>
        <v>12</v>
      </c>
      <c r="P153" s="67">
        <f t="shared" si="39"/>
        <v>0</v>
      </c>
      <c r="Q153" s="68" t="s">
        <v>715</v>
      </c>
      <c r="R153" s="68"/>
    </row>
    <row r="154" spans="1:18" ht="43.5" x14ac:dyDescent="0.35">
      <c r="A154" s="70">
        <v>44487</v>
      </c>
      <c r="B154" s="51">
        <f t="shared" si="42"/>
        <v>10</v>
      </c>
      <c r="C154" s="11">
        <f t="shared" si="43"/>
        <v>2021</v>
      </c>
      <c r="D154" s="105" t="s">
        <v>533</v>
      </c>
      <c r="E154" s="24" t="s">
        <v>10</v>
      </c>
      <c r="F154" s="76" t="s">
        <v>405</v>
      </c>
      <c r="G154" s="31" t="s">
        <v>405</v>
      </c>
      <c r="H154" s="83" t="s">
        <v>51</v>
      </c>
      <c r="I154" s="65">
        <v>16</v>
      </c>
      <c r="J154" s="69" t="s">
        <v>25</v>
      </c>
      <c r="K154" s="77">
        <v>65</v>
      </c>
      <c r="L154" s="66">
        <f>SUM(I154*K154)</f>
        <v>1040</v>
      </c>
      <c r="M154" s="5">
        <f>SUM(M153+L154)</f>
        <v>527959.5</v>
      </c>
      <c r="N154" s="86" t="s">
        <v>511</v>
      </c>
      <c r="O154" s="64">
        <f>1+4+2+4+4+1</f>
        <v>16</v>
      </c>
      <c r="P154" s="67">
        <f t="shared" si="39"/>
        <v>0</v>
      </c>
      <c r="Q154" s="68" t="s">
        <v>512</v>
      </c>
      <c r="R154" s="68"/>
    </row>
    <row r="155" spans="1:18" x14ac:dyDescent="0.35">
      <c r="A155" s="70">
        <v>44490</v>
      </c>
      <c r="B155" s="51">
        <f t="shared" si="42"/>
        <v>10</v>
      </c>
      <c r="C155" s="11">
        <f t="shared" si="43"/>
        <v>2021</v>
      </c>
      <c r="D155" s="105" t="s">
        <v>490</v>
      </c>
      <c r="E155" s="24" t="s">
        <v>429</v>
      </c>
      <c r="F155" s="80" t="s">
        <v>431</v>
      </c>
      <c r="G155" s="80" t="s">
        <v>431</v>
      </c>
      <c r="H155" s="83" t="s">
        <v>51</v>
      </c>
      <c r="I155" s="65">
        <v>5</v>
      </c>
      <c r="J155" s="69" t="s">
        <v>0</v>
      </c>
      <c r="K155" s="77">
        <v>1760</v>
      </c>
      <c r="L155" s="66">
        <f t="shared" ref="L155:L157" si="45">SUM(I155*K155)</f>
        <v>8800</v>
      </c>
      <c r="M155" s="5">
        <f t="shared" si="44"/>
        <v>536759.5</v>
      </c>
      <c r="N155" s="78" t="s">
        <v>499</v>
      </c>
      <c r="O155" s="64">
        <f>4+1</f>
        <v>5</v>
      </c>
      <c r="P155" s="67">
        <f t="shared" si="39"/>
        <v>0</v>
      </c>
      <c r="Q155" s="68" t="s">
        <v>500</v>
      </c>
      <c r="R155" s="68"/>
    </row>
    <row r="156" spans="1:18" ht="58" x14ac:dyDescent="0.35">
      <c r="A156" s="70">
        <v>44490</v>
      </c>
      <c r="B156" s="51">
        <f t="shared" ref="B156:B157" si="46">MONTH(A156)</f>
        <v>10</v>
      </c>
      <c r="C156" s="11">
        <f t="shared" ref="C156:C157" si="47">YEAR(A156)</f>
        <v>2021</v>
      </c>
      <c r="D156" s="105" t="s">
        <v>490</v>
      </c>
      <c r="E156" s="24" t="s">
        <v>429</v>
      </c>
      <c r="F156" s="39" t="s">
        <v>491</v>
      </c>
      <c r="G156" s="39" t="s">
        <v>491</v>
      </c>
      <c r="H156" s="83" t="s">
        <v>51</v>
      </c>
      <c r="I156" s="65">
        <v>10</v>
      </c>
      <c r="J156" s="69" t="s">
        <v>0</v>
      </c>
      <c r="K156" s="77">
        <v>1760</v>
      </c>
      <c r="L156" s="66">
        <f t="shared" si="45"/>
        <v>17600</v>
      </c>
      <c r="M156" s="5">
        <f t="shared" si="44"/>
        <v>554359.5</v>
      </c>
      <c r="N156" s="86" t="s">
        <v>561</v>
      </c>
      <c r="O156" s="64">
        <f>2+1+1+1+1+3+1</f>
        <v>10</v>
      </c>
      <c r="P156" s="67">
        <f t="shared" si="39"/>
        <v>0</v>
      </c>
      <c r="Q156" s="68" t="s">
        <v>562</v>
      </c>
      <c r="R156" s="68"/>
    </row>
    <row r="157" spans="1:18" x14ac:dyDescent="0.35">
      <c r="A157" s="70">
        <v>44490</v>
      </c>
      <c r="B157" s="51">
        <f t="shared" si="46"/>
        <v>10</v>
      </c>
      <c r="C157" s="11">
        <f t="shared" si="47"/>
        <v>2021</v>
      </c>
      <c r="D157" s="105" t="s">
        <v>530</v>
      </c>
      <c r="E157" s="65" t="s">
        <v>347</v>
      </c>
      <c r="F157" s="80" t="s">
        <v>489</v>
      </c>
      <c r="G157" s="80" t="s">
        <v>489</v>
      </c>
      <c r="H157" s="83" t="s">
        <v>51</v>
      </c>
      <c r="I157" s="65">
        <v>5</v>
      </c>
      <c r="J157" s="69" t="s">
        <v>0</v>
      </c>
      <c r="K157" s="77">
        <v>1749</v>
      </c>
      <c r="L157" s="66">
        <f t="shared" si="45"/>
        <v>8745</v>
      </c>
      <c r="M157" s="5">
        <f t="shared" si="44"/>
        <v>563104.5</v>
      </c>
      <c r="N157" s="78" t="s">
        <v>507</v>
      </c>
      <c r="O157" s="64">
        <f>3+2</f>
        <v>5</v>
      </c>
      <c r="P157" s="67">
        <f t="shared" si="39"/>
        <v>0</v>
      </c>
      <c r="Q157" s="68" t="s">
        <v>508</v>
      </c>
      <c r="R157" s="68"/>
    </row>
    <row r="158" spans="1:18" ht="58" x14ac:dyDescent="0.35">
      <c r="A158" s="70">
        <v>44495</v>
      </c>
      <c r="B158" s="51">
        <f t="shared" si="42"/>
        <v>10</v>
      </c>
      <c r="C158" s="11">
        <f t="shared" si="43"/>
        <v>2021</v>
      </c>
      <c r="D158" s="105" t="s">
        <v>534</v>
      </c>
      <c r="E158" s="24" t="s">
        <v>10</v>
      </c>
      <c r="F158" s="76" t="s">
        <v>19</v>
      </c>
      <c r="G158" s="31" t="s">
        <v>19</v>
      </c>
      <c r="H158" s="83" t="s">
        <v>51</v>
      </c>
      <c r="I158" s="65">
        <v>12</v>
      </c>
      <c r="J158" s="69" t="s">
        <v>25</v>
      </c>
      <c r="K158" s="77">
        <v>82.5</v>
      </c>
      <c r="L158" s="66">
        <f t="shared" si="38"/>
        <v>990</v>
      </c>
      <c r="M158" s="5">
        <f t="shared" si="44"/>
        <v>564094.5</v>
      </c>
      <c r="N158" s="86" t="s">
        <v>626</v>
      </c>
      <c r="O158" s="64">
        <f>1+1+1+4+2+1+1+1</f>
        <v>12</v>
      </c>
      <c r="P158" s="67">
        <f t="shared" si="39"/>
        <v>0</v>
      </c>
      <c r="Q158" s="68" t="s">
        <v>627</v>
      </c>
      <c r="R158" s="90" t="s">
        <v>480</v>
      </c>
    </row>
    <row r="159" spans="1:18" ht="29" x14ac:dyDescent="0.35">
      <c r="A159" s="70">
        <v>44495</v>
      </c>
      <c r="B159" s="51">
        <f t="shared" ref="B159:B160" si="48">MONTH(A159)</f>
        <v>10</v>
      </c>
      <c r="C159" s="11">
        <f t="shared" ref="C159:C160" si="49">YEAR(A159)</f>
        <v>2021</v>
      </c>
      <c r="D159" s="105" t="s">
        <v>534</v>
      </c>
      <c r="E159" s="24" t="s">
        <v>10</v>
      </c>
      <c r="F159" s="80" t="s">
        <v>435</v>
      </c>
      <c r="G159" s="80" t="s">
        <v>435</v>
      </c>
      <c r="H159" s="83" t="s">
        <v>51</v>
      </c>
      <c r="I159" s="65">
        <v>20</v>
      </c>
      <c r="J159" s="69" t="s">
        <v>1</v>
      </c>
      <c r="K159" s="77">
        <v>288</v>
      </c>
      <c r="L159" s="66">
        <f t="shared" si="38"/>
        <v>5760</v>
      </c>
      <c r="M159" s="5">
        <f t="shared" si="44"/>
        <v>569854.5</v>
      </c>
      <c r="N159" s="86" t="s">
        <v>509</v>
      </c>
      <c r="O159" s="64">
        <f>9+9+2</f>
        <v>20</v>
      </c>
      <c r="P159" s="67">
        <f t="shared" si="39"/>
        <v>0</v>
      </c>
      <c r="Q159" s="68" t="s">
        <v>510</v>
      </c>
      <c r="R159" s="68"/>
    </row>
    <row r="160" spans="1:18" ht="29" x14ac:dyDescent="0.35">
      <c r="A160" s="70">
        <v>44497</v>
      </c>
      <c r="B160" s="51">
        <f t="shared" si="48"/>
        <v>10</v>
      </c>
      <c r="C160" s="11">
        <f t="shared" si="49"/>
        <v>2021</v>
      </c>
      <c r="D160" s="106" t="s">
        <v>494</v>
      </c>
      <c r="E160" s="24" t="s">
        <v>307</v>
      </c>
      <c r="F160" s="39" t="s">
        <v>643</v>
      </c>
      <c r="G160" s="39" t="s">
        <v>643</v>
      </c>
      <c r="H160" s="23" t="s">
        <v>51</v>
      </c>
      <c r="I160" s="12">
        <v>4</v>
      </c>
      <c r="J160" s="23" t="s">
        <v>125</v>
      </c>
      <c r="K160" s="77">
        <v>305</v>
      </c>
      <c r="L160" s="66">
        <f t="shared" si="38"/>
        <v>1220</v>
      </c>
      <c r="M160" s="5">
        <f t="shared" si="44"/>
        <v>571074.5</v>
      </c>
      <c r="N160" s="86" t="s">
        <v>671</v>
      </c>
      <c r="O160" s="64">
        <f>1+1+1+1</f>
        <v>4</v>
      </c>
      <c r="P160" s="67">
        <f t="shared" si="39"/>
        <v>0</v>
      </c>
      <c r="Q160" s="68" t="s">
        <v>672</v>
      </c>
      <c r="R160" s="68"/>
    </row>
    <row r="161" spans="1:18" ht="29" x14ac:dyDescent="0.35">
      <c r="A161" s="70">
        <v>44503</v>
      </c>
      <c r="B161" s="51">
        <f t="shared" ref="B161:B169" si="50">MONTH(A161)</f>
        <v>11</v>
      </c>
      <c r="C161" s="11">
        <f t="shared" ref="C161:C169" si="51">YEAR(A161)</f>
        <v>2021</v>
      </c>
      <c r="D161" s="97" t="s">
        <v>535</v>
      </c>
      <c r="E161" s="24" t="s">
        <v>10</v>
      </c>
      <c r="F161" s="80" t="s">
        <v>29</v>
      </c>
      <c r="G161" s="31" t="s">
        <v>29</v>
      </c>
      <c r="H161" s="83" t="s">
        <v>47</v>
      </c>
      <c r="I161" s="65">
        <v>10</v>
      </c>
      <c r="J161" s="69" t="s">
        <v>0</v>
      </c>
      <c r="K161" s="77">
        <v>1815</v>
      </c>
      <c r="L161" s="66">
        <f t="shared" si="38"/>
        <v>18150</v>
      </c>
      <c r="M161" s="5">
        <f t="shared" si="44"/>
        <v>589224.5</v>
      </c>
      <c r="N161" s="86" t="s">
        <v>546</v>
      </c>
      <c r="O161" s="64">
        <f>1+6+1+2</f>
        <v>10</v>
      </c>
      <c r="P161" s="67">
        <f t="shared" si="39"/>
        <v>0</v>
      </c>
      <c r="Q161" s="68" t="s">
        <v>547</v>
      </c>
      <c r="R161" s="68"/>
    </row>
    <row r="162" spans="1:18" ht="29" x14ac:dyDescent="0.35">
      <c r="A162" s="70">
        <v>44503</v>
      </c>
      <c r="B162" s="51">
        <f t="shared" si="50"/>
        <v>11</v>
      </c>
      <c r="C162" s="11">
        <f t="shared" si="51"/>
        <v>2021</v>
      </c>
      <c r="D162" s="97" t="s">
        <v>536</v>
      </c>
      <c r="E162" s="24" t="s">
        <v>10</v>
      </c>
      <c r="F162" s="80" t="s">
        <v>376</v>
      </c>
      <c r="G162" s="31" t="s">
        <v>375</v>
      </c>
      <c r="H162" s="83" t="s">
        <v>51</v>
      </c>
      <c r="I162" s="65">
        <v>1</v>
      </c>
      <c r="J162" s="69" t="s">
        <v>1</v>
      </c>
      <c r="K162" s="77">
        <v>321.89999999999998</v>
      </c>
      <c r="L162" s="66">
        <f t="shared" si="38"/>
        <v>321.89999999999998</v>
      </c>
      <c r="M162" s="5">
        <f t="shared" si="44"/>
        <v>589546.4</v>
      </c>
      <c r="N162" s="78" t="s">
        <v>514</v>
      </c>
      <c r="O162" s="64">
        <v>1</v>
      </c>
      <c r="P162" s="67">
        <f t="shared" si="39"/>
        <v>0</v>
      </c>
      <c r="Q162" s="68" t="s">
        <v>515</v>
      </c>
      <c r="R162" s="68"/>
    </row>
    <row r="163" spans="1:18" ht="29" x14ac:dyDescent="0.35">
      <c r="A163" s="70">
        <v>44503</v>
      </c>
      <c r="B163" s="51">
        <f t="shared" si="50"/>
        <v>11</v>
      </c>
      <c r="C163" s="11">
        <f t="shared" si="51"/>
        <v>2021</v>
      </c>
      <c r="D163" s="97" t="s">
        <v>536</v>
      </c>
      <c r="E163" s="24" t="s">
        <v>10</v>
      </c>
      <c r="F163" s="80" t="s">
        <v>501</v>
      </c>
      <c r="G163" s="80" t="s">
        <v>501</v>
      </c>
      <c r="H163" s="83" t="s">
        <v>51</v>
      </c>
      <c r="I163" s="65">
        <v>1</v>
      </c>
      <c r="J163" s="69" t="s">
        <v>125</v>
      </c>
      <c r="K163" s="77">
        <v>105</v>
      </c>
      <c r="L163" s="66">
        <f t="shared" si="38"/>
        <v>105</v>
      </c>
      <c r="M163" s="5">
        <f t="shared" si="44"/>
        <v>589651.4</v>
      </c>
      <c r="N163" s="78" t="s">
        <v>749</v>
      </c>
      <c r="O163" s="64">
        <v>1</v>
      </c>
      <c r="P163" s="67">
        <f t="shared" si="39"/>
        <v>0</v>
      </c>
      <c r="Q163" s="68" t="s">
        <v>752</v>
      </c>
      <c r="R163" s="68"/>
    </row>
    <row r="164" spans="1:18" ht="29" x14ac:dyDescent="0.35">
      <c r="A164" s="70">
        <v>44503</v>
      </c>
      <c r="B164" s="51">
        <f t="shared" si="50"/>
        <v>11</v>
      </c>
      <c r="C164" s="11">
        <f t="shared" si="51"/>
        <v>2021</v>
      </c>
      <c r="D164" s="97" t="s">
        <v>537</v>
      </c>
      <c r="E164" s="24" t="s">
        <v>10</v>
      </c>
      <c r="F164" s="80" t="s">
        <v>376</v>
      </c>
      <c r="G164" s="31" t="s">
        <v>375</v>
      </c>
      <c r="H164" s="83" t="s">
        <v>47</v>
      </c>
      <c r="I164" s="65">
        <v>32</v>
      </c>
      <c r="J164" s="69" t="s">
        <v>1</v>
      </c>
      <c r="K164" s="77">
        <v>321.89999999999998</v>
      </c>
      <c r="L164" s="66">
        <f t="shared" si="38"/>
        <v>10300.799999999999</v>
      </c>
      <c r="M164" s="5">
        <f t="shared" si="44"/>
        <v>599952.20000000007</v>
      </c>
      <c r="N164" s="86" t="s">
        <v>520</v>
      </c>
      <c r="O164" s="64">
        <f>11+6+15</f>
        <v>32</v>
      </c>
      <c r="P164" s="67">
        <f t="shared" si="39"/>
        <v>0</v>
      </c>
      <c r="Q164" s="68" t="s">
        <v>521</v>
      </c>
      <c r="R164" s="68"/>
    </row>
    <row r="165" spans="1:18" ht="29" x14ac:dyDescent="0.35">
      <c r="A165" s="70">
        <v>44503</v>
      </c>
      <c r="B165" s="51">
        <f t="shared" si="50"/>
        <v>11</v>
      </c>
      <c r="C165" s="11">
        <f t="shared" si="51"/>
        <v>2021</v>
      </c>
      <c r="D165" s="97" t="s">
        <v>538</v>
      </c>
      <c r="E165" s="24" t="s">
        <v>10</v>
      </c>
      <c r="F165" s="80" t="s">
        <v>435</v>
      </c>
      <c r="G165" s="80" t="s">
        <v>435</v>
      </c>
      <c r="H165" s="83" t="s">
        <v>51</v>
      </c>
      <c r="I165" s="65">
        <v>10</v>
      </c>
      <c r="J165" s="69" t="s">
        <v>1</v>
      </c>
      <c r="K165" s="77">
        <v>288</v>
      </c>
      <c r="L165" s="66">
        <f t="shared" si="38"/>
        <v>2880</v>
      </c>
      <c r="M165" s="5">
        <f t="shared" si="44"/>
        <v>602832.20000000007</v>
      </c>
      <c r="N165" s="86" t="s">
        <v>555</v>
      </c>
      <c r="O165" s="64">
        <f>5+4+1</f>
        <v>10</v>
      </c>
      <c r="P165" s="67">
        <f t="shared" si="39"/>
        <v>0</v>
      </c>
      <c r="Q165" s="68" t="s">
        <v>556</v>
      </c>
      <c r="R165" s="68"/>
    </row>
    <row r="166" spans="1:18" ht="29" x14ac:dyDescent="0.35">
      <c r="A166" s="70">
        <v>44503</v>
      </c>
      <c r="B166" s="51">
        <f t="shared" si="50"/>
        <v>11</v>
      </c>
      <c r="C166" s="11">
        <f t="shared" si="51"/>
        <v>2021</v>
      </c>
      <c r="D166" s="97" t="s">
        <v>539</v>
      </c>
      <c r="E166" s="24" t="s">
        <v>10</v>
      </c>
      <c r="F166" s="80" t="s">
        <v>233</v>
      </c>
      <c r="G166" s="31" t="s">
        <v>233</v>
      </c>
      <c r="H166" s="83" t="s">
        <v>47</v>
      </c>
      <c r="I166" s="65">
        <v>5</v>
      </c>
      <c r="J166" s="69" t="s">
        <v>217</v>
      </c>
      <c r="K166" s="77">
        <v>390</v>
      </c>
      <c r="L166" s="66">
        <f t="shared" si="38"/>
        <v>1950</v>
      </c>
      <c r="M166" s="5">
        <f t="shared" si="44"/>
        <v>604782.20000000007</v>
      </c>
      <c r="N166" s="86" t="s">
        <v>639</v>
      </c>
      <c r="O166" s="64">
        <f>1+3+1</f>
        <v>5</v>
      </c>
      <c r="P166" s="67">
        <f t="shared" si="39"/>
        <v>0</v>
      </c>
      <c r="Q166" s="68" t="s">
        <v>640</v>
      </c>
      <c r="R166" s="68"/>
    </row>
    <row r="167" spans="1:18" ht="29" x14ac:dyDescent="0.35">
      <c r="A167" s="70">
        <v>44505</v>
      </c>
      <c r="B167" s="51">
        <f t="shared" si="50"/>
        <v>11</v>
      </c>
      <c r="C167" s="11">
        <f t="shared" si="51"/>
        <v>2021</v>
      </c>
      <c r="D167" s="97" t="s">
        <v>540</v>
      </c>
      <c r="E167" s="24" t="s">
        <v>10</v>
      </c>
      <c r="F167" s="80" t="s">
        <v>405</v>
      </c>
      <c r="G167" s="31" t="s">
        <v>405</v>
      </c>
      <c r="H167" s="83" t="s">
        <v>47</v>
      </c>
      <c r="I167" s="65">
        <v>8</v>
      </c>
      <c r="J167" s="69" t="s">
        <v>25</v>
      </c>
      <c r="K167" s="77">
        <v>65</v>
      </c>
      <c r="L167" s="66">
        <f t="shared" si="38"/>
        <v>520</v>
      </c>
      <c r="M167" s="5">
        <f t="shared" si="44"/>
        <v>605302.20000000007</v>
      </c>
      <c r="N167" s="86" t="s">
        <v>563</v>
      </c>
      <c r="O167" s="64">
        <f>3+2+2+1</f>
        <v>8</v>
      </c>
      <c r="P167" s="67">
        <f t="shared" si="39"/>
        <v>0</v>
      </c>
      <c r="Q167" s="68" t="s">
        <v>564</v>
      </c>
      <c r="R167" s="68"/>
    </row>
    <row r="168" spans="1:18" x14ac:dyDescent="0.35">
      <c r="A168" s="70">
        <v>44505</v>
      </c>
      <c r="B168" s="51">
        <f t="shared" si="50"/>
        <v>11</v>
      </c>
      <c r="C168" s="11">
        <f t="shared" si="51"/>
        <v>2021</v>
      </c>
      <c r="D168" s="97" t="s">
        <v>540</v>
      </c>
      <c r="E168" s="24" t="s">
        <v>10</v>
      </c>
      <c r="F168" s="80" t="s">
        <v>19</v>
      </c>
      <c r="G168" s="31" t="s">
        <v>19</v>
      </c>
      <c r="H168" s="83" t="s">
        <v>47</v>
      </c>
      <c r="I168" s="65">
        <v>4</v>
      </c>
      <c r="J168" s="69" t="s">
        <v>25</v>
      </c>
      <c r="K168" s="77">
        <v>90</v>
      </c>
      <c r="L168" s="66">
        <f t="shared" si="38"/>
        <v>360</v>
      </c>
      <c r="M168" s="5">
        <f t="shared" si="44"/>
        <v>605662.20000000007</v>
      </c>
      <c r="N168" s="78" t="s">
        <v>623</v>
      </c>
      <c r="O168" s="64">
        <v>4</v>
      </c>
      <c r="P168" s="67">
        <f t="shared" si="39"/>
        <v>0</v>
      </c>
      <c r="Q168" s="68" t="s">
        <v>628</v>
      </c>
      <c r="R168" s="68"/>
    </row>
    <row r="169" spans="1:18" ht="29" x14ac:dyDescent="0.35">
      <c r="A169" s="70">
        <v>44508</v>
      </c>
      <c r="B169" s="51">
        <f t="shared" si="50"/>
        <v>11</v>
      </c>
      <c r="C169" s="11">
        <f t="shared" si="51"/>
        <v>2021</v>
      </c>
      <c r="D169" s="97" t="s">
        <v>532</v>
      </c>
      <c r="E169" s="24" t="s">
        <v>502</v>
      </c>
      <c r="F169" s="80" t="s">
        <v>518</v>
      </c>
      <c r="G169" s="80" t="s">
        <v>518</v>
      </c>
      <c r="H169" s="83" t="s">
        <v>51</v>
      </c>
      <c r="I169" s="65">
        <v>10</v>
      </c>
      <c r="J169" s="69" t="s">
        <v>1</v>
      </c>
      <c r="K169" s="77">
        <v>333</v>
      </c>
      <c r="L169" s="66">
        <f t="shared" si="38"/>
        <v>3330</v>
      </c>
      <c r="M169" s="5">
        <f t="shared" si="44"/>
        <v>608992.20000000007</v>
      </c>
      <c r="N169" s="78" t="s">
        <v>559</v>
      </c>
      <c r="O169" s="64">
        <f>1+9</f>
        <v>10</v>
      </c>
      <c r="P169" s="67">
        <f t="shared" si="39"/>
        <v>0</v>
      </c>
      <c r="Q169" s="68" t="s">
        <v>560</v>
      </c>
      <c r="R169" s="68"/>
    </row>
    <row r="170" spans="1:18" ht="29" x14ac:dyDescent="0.35">
      <c r="A170" s="70">
        <v>44508</v>
      </c>
      <c r="B170" s="51">
        <f t="shared" ref="B170" si="52">MONTH(A170)</f>
        <v>11</v>
      </c>
      <c r="C170" s="11">
        <f t="shared" ref="C170" si="53">YEAR(A170)</f>
        <v>2021</v>
      </c>
      <c r="D170" s="97" t="s">
        <v>903</v>
      </c>
      <c r="E170" s="24" t="s">
        <v>10</v>
      </c>
      <c r="F170" s="80" t="s">
        <v>16</v>
      </c>
      <c r="G170" s="80" t="s">
        <v>16</v>
      </c>
      <c r="H170" s="83" t="s">
        <v>47</v>
      </c>
      <c r="I170" s="65">
        <v>5</v>
      </c>
      <c r="J170" s="69" t="s">
        <v>18</v>
      </c>
      <c r="K170" s="77">
        <v>246</v>
      </c>
      <c r="L170" s="66">
        <f t="shared" si="38"/>
        <v>1230</v>
      </c>
      <c r="M170" s="5">
        <f t="shared" si="44"/>
        <v>610222.20000000007</v>
      </c>
      <c r="N170" s="86" t="s">
        <v>641</v>
      </c>
      <c r="O170" s="64">
        <f>2+1+2</f>
        <v>5</v>
      </c>
      <c r="P170" s="67">
        <f t="shared" si="39"/>
        <v>0</v>
      </c>
      <c r="Q170" s="68" t="s">
        <v>642</v>
      </c>
      <c r="R170" s="68"/>
    </row>
    <row r="171" spans="1:18" x14ac:dyDescent="0.35">
      <c r="A171" s="70">
        <v>44510</v>
      </c>
      <c r="B171" s="51">
        <f t="shared" ref="B171" si="54">MONTH(A171)</f>
        <v>11</v>
      </c>
      <c r="C171" s="11">
        <f t="shared" ref="C171" si="55">YEAR(A171)</f>
        <v>2021</v>
      </c>
      <c r="D171" s="105" t="s">
        <v>531</v>
      </c>
      <c r="E171" s="65" t="s">
        <v>347</v>
      </c>
      <c r="F171" s="80" t="s">
        <v>489</v>
      </c>
      <c r="G171" s="80" t="s">
        <v>489</v>
      </c>
      <c r="H171" s="83" t="s">
        <v>51</v>
      </c>
      <c r="I171" s="65">
        <v>10</v>
      </c>
      <c r="J171" s="69" t="s">
        <v>0</v>
      </c>
      <c r="K171" s="77">
        <v>1914</v>
      </c>
      <c r="L171" s="66">
        <f t="shared" si="38"/>
        <v>19140</v>
      </c>
      <c r="M171" s="5">
        <f t="shared" si="44"/>
        <v>629362.20000000007</v>
      </c>
      <c r="N171" s="78" t="s">
        <v>549</v>
      </c>
      <c r="O171" s="64">
        <f>9+1</f>
        <v>10</v>
      </c>
      <c r="P171" s="67">
        <f t="shared" si="39"/>
        <v>0</v>
      </c>
      <c r="Q171" s="68" t="s">
        <v>550</v>
      </c>
      <c r="R171" s="68"/>
    </row>
    <row r="172" spans="1:18" ht="29" x14ac:dyDescent="0.35">
      <c r="A172" s="70">
        <v>44511</v>
      </c>
      <c r="B172" s="51">
        <f t="shared" ref="B172" si="56">MONTH(A172)</f>
        <v>11</v>
      </c>
      <c r="C172" s="11">
        <f t="shared" ref="C172" si="57">YEAR(A172)</f>
        <v>2021</v>
      </c>
      <c r="D172" s="97" t="s">
        <v>541</v>
      </c>
      <c r="E172" s="24" t="s">
        <v>10</v>
      </c>
      <c r="F172" s="80" t="s">
        <v>435</v>
      </c>
      <c r="G172" s="31" t="s">
        <v>435</v>
      </c>
      <c r="H172" s="83" t="s">
        <v>51</v>
      </c>
      <c r="I172" s="65">
        <v>10</v>
      </c>
      <c r="J172" s="69" t="s">
        <v>1</v>
      </c>
      <c r="K172" s="77">
        <v>288</v>
      </c>
      <c r="L172" s="66">
        <f t="shared" si="38"/>
        <v>2880</v>
      </c>
      <c r="M172" s="5">
        <f t="shared" si="44"/>
        <v>632242.20000000007</v>
      </c>
      <c r="N172" s="78" t="s">
        <v>519</v>
      </c>
      <c r="O172" s="64">
        <v>10</v>
      </c>
      <c r="P172" s="67">
        <f t="shared" si="39"/>
        <v>0</v>
      </c>
      <c r="Q172" s="68" t="s">
        <v>522</v>
      </c>
      <c r="R172" s="68"/>
    </row>
    <row r="173" spans="1:18" ht="29" x14ac:dyDescent="0.35">
      <c r="A173" s="70">
        <v>44511</v>
      </c>
      <c r="B173" s="51">
        <f t="shared" ref="B173" si="58">MONTH(A173)</f>
        <v>11</v>
      </c>
      <c r="C173" s="11">
        <f t="shared" ref="C173" si="59">YEAR(A173)</f>
        <v>2021</v>
      </c>
      <c r="D173" s="97" t="s">
        <v>542</v>
      </c>
      <c r="E173" s="24" t="s">
        <v>10</v>
      </c>
      <c r="F173" s="80" t="s">
        <v>28</v>
      </c>
      <c r="G173" s="80" t="s">
        <v>28</v>
      </c>
      <c r="H173" s="83" t="s">
        <v>51</v>
      </c>
      <c r="I173" s="65">
        <v>5</v>
      </c>
      <c r="J173" s="69" t="s">
        <v>217</v>
      </c>
      <c r="K173" s="77">
        <v>32.5</v>
      </c>
      <c r="L173" s="66">
        <f t="shared" ref="L173" si="60">SUM(I173*K173)</f>
        <v>162.5</v>
      </c>
      <c r="M173" s="5">
        <f t="shared" si="44"/>
        <v>632404.70000000007</v>
      </c>
      <c r="N173" s="78" t="s">
        <v>519</v>
      </c>
      <c r="O173" s="64">
        <v>5</v>
      </c>
      <c r="P173" s="67">
        <f t="shared" ref="P173" si="61">I173-O173</f>
        <v>0</v>
      </c>
      <c r="Q173" s="68" t="s">
        <v>525</v>
      </c>
      <c r="R173" s="68"/>
    </row>
    <row r="174" spans="1:18" ht="203" x14ac:dyDescent="0.35">
      <c r="A174" s="70">
        <v>44512</v>
      </c>
      <c r="B174" s="51">
        <f t="shared" ref="B174:B175" si="62">MONTH(A174)</f>
        <v>11</v>
      </c>
      <c r="C174" s="11">
        <f t="shared" ref="C174:C175" si="63">YEAR(A174)</f>
        <v>2021</v>
      </c>
      <c r="D174" s="97" t="s">
        <v>543</v>
      </c>
      <c r="E174" s="24" t="s">
        <v>10</v>
      </c>
      <c r="F174" s="80" t="s">
        <v>28</v>
      </c>
      <c r="G174" s="80" t="s">
        <v>28</v>
      </c>
      <c r="H174" s="83" t="s">
        <v>47</v>
      </c>
      <c r="I174" s="65">
        <v>80</v>
      </c>
      <c r="J174" s="69" t="s">
        <v>217</v>
      </c>
      <c r="K174" s="77">
        <v>32.5</v>
      </c>
      <c r="L174" s="66">
        <f t="shared" ref="L174:L192" si="64">SUM(I174*K174)</f>
        <v>2600</v>
      </c>
      <c r="M174" s="5">
        <f t="shared" si="44"/>
        <v>635004.70000000007</v>
      </c>
      <c r="N174" s="86" t="s">
        <v>710</v>
      </c>
      <c r="O174" s="64">
        <f>2+3+4+3+5+3+3+5+4+2+2+10+8+1+2+10+5+4+4</f>
        <v>80</v>
      </c>
      <c r="P174" s="67">
        <f>I174-O174</f>
        <v>0</v>
      </c>
      <c r="Q174" s="68" t="s">
        <v>711</v>
      </c>
      <c r="R174" s="68"/>
    </row>
    <row r="175" spans="1:18" x14ac:dyDescent="0.35">
      <c r="A175" s="70">
        <v>44526</v>
      </c>
      <c r="B175" s="51">
        <f t="shared" si="62"/>
        <v>11</v>
      </c>
      <c r="C175" s="11">
        <f t="shared" si="63"/>
        <v>2021</v>
      </c>
      <c r="D175" s="97" t="s">
        <v>552</v>
      </c>
      <c r="E175" s="24" t="s">
        <v>429</v>
      </c>
      <c r="F175" s="31" t="s">
        <v>431</v>
      </c>
      <c r="G175" s="31" t="s">
        <v>431</v>
      </c>
      <c r="H175" s="83" t="s">
        <v>51</v>
      </c>
      <c r="I175" s="65">
        <v>4</v>
      </c>
      <c r="J175" s="69" t="s">
        <v>0</v>
      </c>
      <c r="K175" s="77">
        <v>2002</v>
      </c>
      <c r="L175" s="66">
        <f t="shared" si="64"/>
        <v>8008</v>
      </c>
      <c r="M175" s="5">
        <f t="shared" si="44"/>
        <v>643012.70000000007</v>
      </c>
      <c r="N175" s="78" t="s">
        <v>584</v>
      </c>
      <c r="O175" s="64">
        <f>1+3</f>
        <v>4</v>
      </c>
      <c r="P175" s="67">
        <f t="shared" ref="P175:P238" si="65">I175-O175</f>
        <v>0</v>
      </c>
      <c r="Q175" s="68" t="s">
        <v>585</v>
      </c>
      <c r="R175" s="68"/>
    </row>
    <row r="176" spans="1:18" ht="29" x14ac:dyDescent="0.35">
      <c r="A176" s="70">
        <v>44526</v>
      </c>
      <c r="B176" s="51">
        <f t="shared" ref="B176" si="66">MONTH(A176)</f>
        <v>11</v>
      </c>
      <c r="C176" s="11">
        <f t="shared" ref="C176" si="67">YEAR(A176)</f>
        <v>2021</v>
      </c>
      <c r="D176" s="97" t="s">
        <v>552</v>
      </c>
      <c r="E176" s="24" t="s">
        <v>429</v>
      </c>
      <c r="F176" s="80" t="s">
        <v>491</v>
      </c>
      <c r="G176" s="31" t="s">
        <v>491</v>
      </c>
      <c r="H176" s="83" t="s">
        <v>51</v>
      </c>
      <c r="I176" s="65">
        <v>4</v>
      </c>
      <c r="J176" s="69" t="s">
        <v>0</v>
      </c>
      <c r="K176" s="77">
        <v>2002</v>
      </c>
      <c r="L176" s="66">
        <f t="shared" si="64"/>
        <v>8008</v>
      </c>
      <c r="M176" s="5">
        <f t="shared" si="44"/>
        <v>651020.70000000007</v>
      </c>
      <c r="N176" s="86" t="s">
        <v>595</v>
      </c>
      <c r="O176" s="64">
        <f>3+1</f>
        <v>4</v>
      </c>
      <c r="P176" s="67">
        <f t="shared" si="65"/>
        <v>0</v>
      </c>
      <c r="Q176" s="68" t="s">
        <v>596</v>
      </c>
      <c r="R176" s="68"/>
    </row>
    <row r="177" spans="1:21" ht="29" x14ac:dyDescent="0.35">
      <c r="A177" s="70">
        <v>44526</v>
      </c>
      <c r="B177" s="51">
        <v>11</v>
      </c>
      <c r="C177" s="11">
        <v>2021</v>
      </c>
      <c r="D177" s="97" t="s">
        <v>551</v>
      </c>
      <c r="E177" s="24" t="s">
        <v>429</v>
      </c>
      <c r="F177" s="80" t="s">
        <v>458</v>
      </c>
      <c r="G177" s="31" t="s">
        <v>435</v>
      </c>
      <c r="H177" s="83" t="s">
        <v>51</v>
      </c>
      <c r="I177" s="65">
        <v>2</v>
      </c>
      <c r="J177" s="69" t="s">
        <v>1</v>
      </c>
      <c r="K177" s="77">
        <v>240</v>
      </c>
      <c r="L177" s="66">
        <f t="shared" si="64"/>
        <v>480</v>
      </c>
      <c r="M177" s="5">
        <f t="shared" si="44"/>
        <v>651500.70000000007</v>
      </c>
      <c r="N177" s="78" t="s">
        <v>557</v>
      </c>
      <c r="O177" s="64">
        <v>2</v>
      </c>
      <c r="P177" s="67">
        <f t="shared" si="65"/>
        <v>0</v>
      </c>
      <c r="Q177" s="68" t="s">
        <v>558</v>
      </c>
      <c r="R177" s="68"/>
    </row>
    <row r="178" spans="1:21" ht="72.5" x14ac:dyDescent="0.35">
      <c r="A178" s="70">
        <v>44531</v>
      </c>
      <c r="B178" s="51">
        <f t="shared" ref="B178:B187" si="68">MONTH(A178)</f>
        <v>12</v>
      </c>
      <c r="C178" s="11">
        <f t="shared" ref="C178:C187" si="69">YEAR(A178)</f>
        <v>2021</v>
      </c>
      <c r="D178" s="97" t="s">
        <v>572</v>
      </c>
      <c r="E178" s="24" t="s">
        <v>10</v>
      </c>
      <c r="F178" s="80" t="s">
        <v>405</v>
      </c>
      <c r="G178" s="31" t="s">
        <v>405</v>
      </c>
      <c r="H178" s="83" t="s">
        <v>47</v>
      </c>
      <c r="I178" s="65">
        <v>20</v>
      </c>
      <c r="J178" s="69" t="s">
        <v>25</v>
      </c>
      <c r="K178" s="77">
        <v>65</v>
      </c>
      <c r="L178" s="66">
        <f t="shared" ref="L178:L182" si="70">SUM(I178*K178)</f>
        <v>1300</v>
      </c>
      <c r="M178" s="5">
        <f t="shared" si="44"/>
        <v>652800.70000000007</v>
      </c>
      <c r="N178" s="86" t="s">
        <v>663</v>
      </c>
      <c r="O178" s="64">
        <f>1+2+4+4+4+4+1</f>
        <v>20</v>
      </c>
      <c r="P178" s="67">
        <f t="shared" si="65"/>
        <v>0</v>
      </c>
      <c r="Q178" s="68" t="s">
        <v>662</v>
      </c>
      <c r="R178" s="68"/>
    </row>
    <row r="179" spans="1:21" ht="101.5" x14ac:dyDescent="0.35">
      <c r="A179" s="70">
        <v>44531</v>
      </c>
      <c r="B179" s="51">
        <f t="shared" si="68"/>
        <v>12</v>
      </c>
      <c r="C179" s="11">
        <f t="shared" si="69"/>
        <v>2021</v>
      </c>
      <c r="D179" s="97" t="s">
        <v>572</v>
      </c>
      <c r="E179" s="24" t="s">
        <v>10</v>
      </c>
      <c r="F179" s="80" t="s">
        <v>19</v>
      </c>
      <c r="G179" s="31" t="s">
        <v>19</v>
      </c>
      <c r="H179" s="83" t="s">
        <v>47</v>
      </c>
      <c r="I179" s="65">
        <v>12</v>
      </c>
      <c r="J179" s="69" t="s">
        <v>25</v>
      </c>
      <c r="K179" s="77">
        <v>90</v>
      </c>
      <c r="L179" s="66">
        <f t="shared" si="70"/>
        <v>1080</v>
      </c>
      <c r="M179" s="5">
        <f t="shared" si="44"/>
        <v>653880.70000000007</v>
      </c>
      <c r="N179" s="86" t="s">
        <v>740</v>
      </c>
      <c r="O179" s="64">
        <f>1+1+1+6+1+1+1</f>
        <v>12</v>
      </c>
      <c r="P179" s="67">
        <f t="shared" si="65"/>
        <v>0</v>
      </c>
      <c r="Q179" s="68" t="s">
        <v>741</v>
      </c>
      <c r="R179" s="68"/>
    </row>
    <row r="180" spans="1:21" ht="29" x14ac:dyDescent="0.35">
      <c r="A180" s="70">
        <v>44532</v>
      </c>
      <c r="B180" s="51">
        <f t="shared" si="68"/>
        <v>12</v>
      </c>
      <c r="C180" s="11">
        <f t="shared" si="69"/>
        <v>2021</v>
      </c>
      <c r="D180" s="97" t="s">
        <v>582</v>
      </c>
      <c r="E180" s="65" t="s">
        <v>347</v>
      </c>
      <c r="F180" s="80" t="s">
        <v>489</v>
      </c>
      <c r="G180" s="80" t="s">
        <v>489</v>
      </c>
      <c r="H180" s="83" t="s">
        <v>51</v>
      </c>
      <c r="I180" s="65">
        <v>10</v>
      </c>
      <c r="J180" s="69" t="s">
        <v>0</v>
      </c>
      <c r="K180" s="77">
        <v>1914</v>
      </c>
      <c r="L180" s="66">
        <f t="shared" si="70"/>
        <v>19140</v>
      </c>
      <c r="M180" s="5">
        <f t="shared" si="44"/>
        <v>673020.70000000007</v>
      </c>
      <c r="N180" s="86" t="s">
        <v>615</v>
      </c>
      <c r="O180" s="64">
        <f>3+1+4+2</f>
        <v>10</v>
      </c>
      <c r="P180" s="67">
        <f t="shared" si="65"/>
        <v>0</v>
      </c>
      <c r="Q180" s="68" t="s">
        <v>616</v>
      </c>
      <c r="R180" s="68"/>
    </row>
    <row r="181" spans="1:21" ht="29" x14ac:dyDescent="0.35">
      <c r="A181" s="79" t="s">
        <v>570</v>
      </c>
      <c r="B181" s="51">
        <f t="shared" si="68"/>
        <v>12</v>
      </c>
      <c r="C181" s="11">
        <f t="shared" si="69"/>
        <v>2021</v>
      </c>
      <c r="D181" s="97" t="s">
        <v>574</v>
      </c>
      <c r="E181" s="24" t="s">
        <v>10</v>
      </c>
      <c r="F181" s="80" t="s">
        <v>575</v>
      </c>
      <c r="G181" s="80" t="s">
        <v>575</v>
      </c>
      <c r="H181" s="83" t="s">
        <v>47</v>
      </c>
      <c r="I181" s="65">
        <v>5</v>
      </c>
      <c r="J181" s="69" t="s">
        <v>0</v>
      </c>
      <c r="K181" s="77">
        <v>1957.5</v>
      </c>
      <c r="L181" s="66">
        <f t="shared" si="70"/>
        <v>9787.5</v>
      </c>
      <c r="M181" s="5">
        <f t="shared" si="44"/>
        <v>682808.20000000007</v>
      </c>
      <c r="N181" s="78" t="s">
        <v>565</v>
      </c>
      <c r="O181" s="64">
        <v>5</v>
      </c>
      <c r="P181" s="67">
        <f t="shared" si="65"/>
        <v>0</v>
      </c>
      <c r="Q181" s="68" t="s">
        <v>576</v>
      </c>
      <c r="R181" s="68"/>
      <c r="U181" s="94" t="s">
        <v>906</v>
      </c>
    </row>
    <row r="182" spans="1:21" ht="43.5" x14ac:dyDescent="0.35">
      <c r="A182" s="79" t="s">
        <v>570</v>
      </c>
      <c r="B182" s="51">
        <f t="shared" si="68"/>
        <v>12</v>
      </c>
      <c r="C182" s="11">
        <f t="shared" si="69"/>
        <v>2021</v>
      </c>
      <c r="D182" s="97" t="s">
        <v>574</v>
      </c>
      <c r="E182" s="24" t="s">
        <v>10</v>
      </c>
      <c r="F182" s="80" t="s">
        <v>233</v>
      </c>
      <c r="G182" s="31" t="s">
        <v>233</v>
      </c>
      <c r="H182" s="83" t="s">
        <v>47</v>
      </c>
      <c r="I182" s="65">
        <v>3</v>
      </c>
      <c r="J182" s="69" t="s">
        <v>217</v>
      </c>
      <c r="K182" s="77">
        <v>390</v>
      </c>
      <c r="L182" s="66">
        <f t="shared" si="70"/>
        <v>1170</v>
      </c>
      <c r="M182" s="5">
        <f t="shared" si="44"/>
        <v>683978.20000000007</v>
      </c>
      <c r="N182" s="86" t="s">
        <v>706</v>
      </c>
      <c r="O182" s="64">
        <f>1+1+1</f>
        <v>3</v>
      </c>
      <c r="P182" s="67">
        <f t="shared" si="65"/>
        <v>0</v>
      </c>
      <c r="Q182" s="68" t="s">
        <v>707</v>
      </c>
      <c r="R182" s="68"/>
      <c r="U182" s="94" t="s">
        <v>906</v>
      </c>
    </row>
    <row r="183" spans="1:21" ht="29" x14ac:dyDescent="0.35">
      <c r="A183" s="70">
        <v>44538</v>
      </c>
      <c r="B183" s="51">
        <f t="shared" si="68"/>
        <v>12</v>
      </c>
      <c r="C183" s="11">
        <f t="shared" si="69"/>
        <v>2021</v>
      </c>
      <c r="D183" s="97" t="s">
        <v>571</v>
      </c>
      <c r="E183" s="24" t="s">
        <v>10</v>
      </c>
      <c r="F183" s="80" t="s">
        <v>435</v>
      </c>
      <c r="G183" s="80" t="s">
        <v>435</v>
      </c>
      <c r="H183" s="83" t="s">
        <v>51</v>
      </c>
      <c r="I183" s="65">
        <v>1</v>
      </c>
      <c r="J183" s="69" t="s">
        <v>1</v>
      </c>
      <c r="K183" s="77">
        <v>288</v>
      </c>
      <c r="L183" s="66">
        <f t="shared" si="64"/>
        <v>288</v>
      </c>
      <c r="M183" s="5">
        <f t="shared" si="44"/>
        <v>684266.20000000007</v>
      </c>
      <c r="N183" s="78" t="s">
        <v>557</v>
      </c>
      <c r="O183" s="64">
        <v>1</v>
      </c>
      <c r="P183" s="67">
        <f t="shared" si="65"/>
        <v>0</v>
      </c>
      <c r="Q183" s="68" t="s">
        <v>569</v>
      </c>
      <c r="R183" s="68"/>
    </row>
    <row r="184" spans="1:21" ht="29" x14ac:dyDescent="0.35">
      <c r="A184" s="70">
        <v>44538</v>
      </c>
      <c r="B184" s="51">
        <f t="shared" si="68"/>
        <v>12</v>
      </c>
      <c r="C184" s="11">
        <f t="shared" si="69"/>
        <v>2021</v>
      </c>
      <c r="D184" s="97" t="s">
        <v>571</v>
      </c>
      <c r="E184" s="24" t="s">
        <v>10</v>
      </c>
      <c r="F184" s="80" t="s">
        <v>573</v>
      </c>
      <c r="G184" s="80" t="s">
        <v>573</v>
      </c>
      <c r="H184" s="83" t="s">
        <v>51</v>
      </c>
      <c r="I184" s="65">
        <v>2</v>
      </c>
      <c r="J184" s="69" t="s">
        <v>1</v>
      </c>
      <c r="K184" s="77">
        <v>288</v>
      </c>
      <c r="L184" s="66">
        <f t="shared" si="64"/>
        <v>576</v>
      </c>
      <c r="M184" s="5">
        <f t="shared" si="44"/>
        <v>684842.20000000007</v>
      </c>
      <c r="N184" s="78" t="s">
        <v>557</v>
      </c>
      <c r="O184" s="64">
        <v>2</v>
      </c>
      <c r="P184" s="67">
        <f t="shared" si="65"/>
        <v>0</v>
      </c>
      <c r="Q184" s="68" t="s">
        <v>558</v>
      </c>
      <c r="R184" s="68"/>
    </row>
    <row r="185" spans="1:21" ht="29" x14ac:dyDescent="0.35">
      <c r="A185" s="70">
        <v>44539</v>
      </c>
      <c r="B185" s="51">
        <f t="shared" si="68"/>
        <v>12</v>
      </c>
      <c r="C185" s="11">
        <f t="shared" si="69"/>
        <v>2021</v>
      </c>
      <c r="D185" s="97" t="s">
        <v>567</v>
      </c>
      <c r="E185" s="24" t="s">
        <v>10</v>
      </c>
      <c r="F185" s="80" t="s">
        <v>229</v>
      </c>
      <c r="G185" s="31" t="s">
        <v>229</v>
      </c>
      <c r="H185" s="83" t="s">
        <v>51</v>
      </c>
      <c r="I185" s="65">
        <v>2</v>
      </c>
      <c r="J185" s="69" t="s">
        <v>125</v>
      </c>
      <c r="K185" s="77">
        <v>120</v>
      </c>
      <c r="L185" s="66">
        <f t="shared" si="64"/>
        <v>240</v>
      </c>
      <c r="M185" s="5">
        <f t="shared" si="44"/>
        <v>685082.20000000007</v>
      </c>
      <c r="N185" s="78" t="s">
        <v>565</v>
      </c>
      <c r="O185" s="64">
        <v>2</v>
      </c>
      <c r="P185" s="67">
        <f t="shared" si="65"/>
        <v>0</v>
      </c>
      <c r="Q185" s="68" t="s">
        <v>566</v>
      </c>
      <c r="R185" s="68"/>
    </row>
    <row r="186" spans="1:21" ht="43.5" x14ac:dyDescent="0.35">
      <c r="A186" s="70">
        <v>44539</v>
      </c>
      <c r="B186" s="51">
        <f t="shared" si="68"/>
        <v>12</v>
      </c>
      <c r="C186" s="11">
        <f t="shared" si="69"/>
        <v>2021</v>
      </c>
      <c r="D186" s="97" t="s">
        <v>567</v>
      </c>
      <c r="E186" s="24" t="s">
        <v>10</v>
      </c>
      <c r="F186" s="80" t="s">
        <v>568</v>
      </c>
      <c r="G186" s="80" t="s">
        <v>568</v>
      </c>
      <c r="H186" s="83" t="s">
        <v>51</v>
      </c>
      <c r="I186" s="65">
        <v>1</v>
      </c>
      <c r="J186" s="69" t="s">
        <v>1</v>
      </c>
      <c r="K186" s="77">
        <v>420</v>
      </c>
      <c r="L186" s="66">
        <f t="shared" si="64"/>
        <v>420</v>
      </c>
      <c r="M186" s="5">
        <f t="shared" si="44"/>
        <v>685502.20000000007</v>
      </c>
      <c r="N186" s="78" t="s">
        <v>565</v>
      </c>
      <c r="O186" s="64">
        <v>1</v>
      </c>
      <c r="P186" s="67">
        <f t="shared" si="65"/>
        <v>0</v>
      </c>
      <c r="Q186" s="68" t="s">
        <v>566</v>
      </c>
      <c r="R186" s="68"/>
    </row>
    <row r="187" spans="1:21" x14ac:dyDescent="0.35">
      <c r="A187" s="70">
        <v>44540</v>
      </c>
      <c r="B187" s="51">
        <f t="shared" si="68"/>
        <v>12</v>
      </c>
      <c r="C187" s="11">
        <f t="shared" si="69"/>
        <v>2021</v>
      </c>
      <c r="D187" s="97"/>
      <c r="E187" s="107" t="s">
        <v>158</v>
      </c>
      <c r="F187" s="64" t="s">
        <v>365</v>
      </c>
      <c r="G187" s="64" t="s">
        <v>365</v>
      </c>
      <c r="H187" s="64" t="s">
        <v>51</v>
      </c>
      <c r="I187" s="65">
        <v>1</v>
      </c>
      <c r="J187" s="64" t="s">
        <v>138</v>
      </c>
      <c r="K187" s="77">
        <v>32</v>
      </c>
      <c r="L187" s="66">
        <f t="shared" si="64"/>
        <v>32</v>
      </c>
      <c r="M187" s="5">
        <f t="shared" si="44"/>
        <v>685534.20000000007</v>
      </c>
      <c r="N187" s="86" t="s">
        <v>565</v>
      </c>
      <c r="O187" s="64">
        <f>1</f>
        <v>1</v>
      </c>
      <c r="P187" s="67">
        <f t="shared" si="65"/>
        <v>0</v>
      </c>
      <c r="Q187" s="68" t="s">
        <v>566</v>
      </c>
      <c r="R187" s="68"/>
    </row>
    <row r="188" spans="1:21" ht="43.5" x14ac:dyDescent="0.35">
      <c r="A188" s="70">
        <v>44540</v>
      </c>
      <c r="B188" s="51">
        <f t="shared" ref="B188:B190" si="71">MONTH(A188)</f>
        <v>12</v>
      </c>
      <c r="C188" s="11">
        <f t="shared" ref="C188:C190" si="72">YEAR(A188)</f>
        <v>2021</v>
      </c>
      <c r="D188" s="97" t="s">
        <v>646</v>
      </c>
      <c r="E188" s="65" t="s">
        <v>339</v>
      </c>
      <c r="F188" s="80" t="s">
        <v>579</v>
      </c>
      <c r="G188" s="80" t="s">
        <v>579</v>
      </c>
      <c r="H188" s="83" t="s">
        <v>47</v>
      </c>
      <c r="I188" s="65">
        <v>20</v>
      </c>
      <c r="J188" s="69" t="s">
        <v>1</v>
      </c>
      <c r="K188" s="77">
        <v>306</v>
      </c>
      <c r="L188" s="66">
        <f t="shared" si="64"/>
        <v>6120</v>
      </c>
      <c r="M188" s="5">
        <f t="shared" si="44"/>
        <v>691654.20000000007</v>
      </c>
      <c r="N188" s="86" t="s">
        <v>619</v>
      </c>
      <c r="O188" s="64">
        <f>7+8+2+1+2</f>
        <v>20</v>
      </c>
      <c r="P188" s="67">
        <f t="shared" si="65"/>
        <v>0</v>
      </c>
      <c r="Q188" s="68" t="s">
        <v>620</v>
      </c>
      <c r="R188" s="68"/>
    </row>
    <row r="189" spans="1:21" ht="29" x14ac:dyDescent="0.35">
      <c r="A189" s="70">
        <v>44540</v>
      </c>
      <c r="B189" s="51">
        <f t="shared" si="71"/>
        <v>12</v>
      </c>
      <c r="C189" s="11">
        <f t="shared" si="72"/>
        <v>2021</v>
      </c>
      <c r="D189" s="97" t="s">
        <v>577</v>
      </c>
      <c r="E189" s="107" t="s">
        <v>339</v>
      </c>
      <c r="F189" s="80" t="s">
        <v>356</v>
      </c>
      <c r="G189" s="80" t="s">
        <v>356</v>
      </c>
      <c r="H189" s="83" t="s">
        <v>47</v>
      </c>
      <c r="I189" s="65">
        <v>5</v>
      </c>
      <c r="J189" s="69" t="s">
        <v>0</v>
      </c>
      <c r="K189" s="77">
        <v>1980</v>
      </c>
      <c r="L189" s="66">
        <f t="shared" si="64"/>
        <v>9900</v>
      </c>
      <c r="M189" s="5">
        <f t="shared" si="44"/>
        <v>701554.20000000007</v>
      </c>
      <c r="N189" s="86" t="s">
        <v>609</v>
      </c>
      <c r="O189" s="64">
        <f>2+2+1</f>
        <v>5</v>
      </c>
      <c r="P189" s="67">
        <f t="shared" si="65"/>
        <v>0</v>
      </c>
      <c r="Q189" s="68" t="s">
        <v>610</v>
      </c>
      <c r="R189" s="68"/>
    </row>
    <row r="190" spans="1:21" ht="29" x14ac:dyDescent="0.35">
      <c r="A190" s="70">
        <v>44544</v>
      </c>
      <c r="B190" s="51">
        <f t="shared" si="71"/>
        <v>12</v>
      </c>
      <c r="C190" s="11">
        <f t="shared" si="72"/>
        <v>2021</v>
      </c>
      <c r="D190" s="97" t="s">
        <v>578</v>
      </c>
      <c r="E190" s="65" t="s">
        <v>347</v>
      </c>
      <c r="F190" s="39" t="s">
        <v>583</v>
      </c>
      <c r="G190" s="39" t="s">
        <v>583</v>
      </c>
      <c r="H190" s="83" t="s">
        <v>51</v>
      </c>
      <c r="I190" s="65">
        <v>10</v>
      </c>
      <c r="J190" s="69" t="s">
        <v>0</v>
      </c>
      <c r="K190" s="77">
        <v>1936</v>
      </c>
      <c r="L190" s="66">
        <f t="shared" si="64"/>
        <v>19360</v>
      </c>
      <c r="M190" s="5">
        <f t="shared" si="44"/>
        <v>720914.20000000007</v>
      </c>
      <c r="N190" s="86" t="s">
        <v>621</v>
      </c>
      <c r="O190" s="64">
        <f>4+1+3+2</f>
        <v>10</v>
      </c>
      <c r="P190" s="67">
        <f t="shared" si="65"/>
        <v>0</v>
      </c>
      <c r="Q190" s="68" t="s">
        <v>622</v>
      </c>
      <c r="R190" s="68"/>
    </row>
    <row r="191" spans="1:21" ht="29" x14ac:dyDescent="0.35">
      <c r="A191" s="70">
        <v>44545</v>
      </c>
      <c r="B191" s="51">
        <f t="shared" ref="B191" si="73">MONTH(A191)</f>
        <v>12</v>
      </c>
      <c r="C191" s="11">
        <f t="shared" ref="C191:C192" si="74">YEAR(A191)</f>
        <v>2021</v>
      </c>
      <c r="D191" s="97" t="s">
        <v>577</v>
      </c>
      <c r="E191" s="107" t="s">
        <v>339</v>
      </c>
      <c r="F191" s="39" t="s">
        <v>357</v>
      </c>
      <c r="G191" s="39" t="s">
        <v>357</v>
      </c>
      <c r="H191" s="83" t="s">
        <v>51</v>
      </c>
      <c r="I191" s="65">
        <v>1</v>
      </c>
      <c r="J191" s="69" t="s">
        <v>0</v>
      </c>
      <c r="K191" s="77">
        <v>1980</v>
      </c>
      <c r="L191" s="66">
        <f t="shared" si="64"/>
        <v>1980</v>
      </c>
      <c r="M191" s="5">
        <f t="shared" si="44"/>
        <v>722894.20000000007</v>
      </c>
      <c r="N191" s="78" t="s">
        <v>209</v>
      </c>
      <c r="O191" s="64">
        <v>1</v>
      </c>
      <c r="P191" s="67">
        <f t="shared" si="65"/>
        <v>0</v>
      </c>
      <c r="Q191" s="68" t="s">
        <v>586</v>
      </c>
      <c r="R191" s="68"/>
    </row>
    <row r="192" spans="1:21" x14ac:dyDescent="0.35">
      <c r="A192" s="70">
        <v>44545</v>
      </c>
      <c r="B192" s="51">
        <f t="shared" ref="B192" si="75">MONTH(A192)</f>
        <v>12</v>
      </c>
      <c r="C192" s="11">
        <f t="shared" si="74"/>
        <v>2021</v>
      </c>
      <c r="D192" s="97" t="s">
        <v>577</v>
      </c>
      <c r="E192" s="107" t="s">
        <v>339</v>
      </c>
      <c r="F192" s="80" t="s">
        <v>358</v>
      </c>
      <c r="G192" s="31" t="s">
        <v>358</v>
      </c>
      <c r="H192" s="83" t="s">
        <v>51</v>
      </c>
      <c r="I192" s="65">
        <v>4</v>
      </c>
      <c r="J192" s="69" t="s">
        <v>0</v>
      </c>
      <c r="K192" s="77">
        <v>1980</v>
      </c>
      <c r="L192" s="66">
        <f t="shared" si="64"/>
        <v>7920</v>
      </c>
      <c r="M192" s="5">
        <f t="shared" si="44"/>
        <v>730814.20000000007</v>
      </c>
      <c r="N192" s="78" t="s">
        <v>209</v>
      </c>
      <c r="O192" s="64">
        <v>4</v>
      </c>
      <c r="P192" s="67">
        <f t="shared" si="65"/>
        <v>0</v>
      </c>
      <c r="Q192" s="68" t="s">
        <v>587</v>
      </c>
      <c r="R192" s="68"/>
    </row>
    <row r="193" spans="1:18" x14ac:dyDescent="0.35">
      <c r="A193" s="79" t="s">
        <v>588</v>
      </c>
      <c r="B193" s="51">
        <f t="shared" ref="B193" si="76">MONTH(A193)</f>
        <v>12</v>
      </c>
      <c r="C193" s="11">
        <f t="shared" ref="C193" si="77">YEAR(A193)</f>
        <v>2021</v>
      </c>
      <c r="D193" s="97" t="s">
        <v>589</v>
      </c>
      <c r="E193" s="12" t="s">
        <v>10</v>
      </c>
      <c r="F193" s="80" t="s">
        <v>265</v>
      </c>
      <c r="G193" s="80" t="s">
        <v>265</v>
      </c>
      <c r="H193" s="83" t="s">
        <v>51</v>
      </c>
      <c r="I193" s="65">
        <v>1</v>
      </c>
      <c r="J193" s="69" t="s">
        <v>215</v>
      </c>
      <c r="K193" s="93">
        <v>345</v>
      </c>
      <c r="L193" s="66">
        <f t="shared" ref="L193:L212" si="78">SUM(I193*K193)</f>
        <v>345</v>
      </c>
      <c r="M193" s="5">
        <f t="shared" si="44"/>
        <v>731159.20000000007</v>
      </c>
      <c r="N193" s="78" t="s">
        <v>209</v>
      </c>
      <c r="O193" s="64">
        <v>1</v>
      </c>
      <c r="P193" s="67">
        <f t="shared" si="65"/>
        <v>0</v>
      </c>
      <c r="Q193" s="68" t="s">
        <v>590</v>
      </c>
      <c r="R193" s="68"/>
    </row>
    <row r="194" spans="1:18" ht="29" x14ac:dyDescent="0.35">
      <c r="A194" s="70">
        <v>44551</v>
      </c>
      <c r="B194" s="51">
        <f t="shared" ref="B194:B196" si="79">MONTH(A194)</f>
        <v>12</v>
      </c>
      <c r="C194" s="11">
        <f t="shared" ref="C194:C196" si="80">YEAR(A194)</f>
        <v>2021</v>
      </c>
      <c r="D194" s="97" t="s">
        <v>594</v>
      </c>
      <c r="E194" s="24" t="s">
        <v>502</v>
      </c>
      <c r="F194" s="80" t="s">
        <v>591</v>
      </c>
      <c r="G194" s="80" t="s">
        <v>591</v>
      </c>
      <c r="H194" s="83" t="s">
        <v>51</v>
      </c>
      <c r="I194" s="65">
        <v>8</v>
      </c>
      <c r="J194" s="69" t="s">
        <v>1</v>
      </c>
      <c r="K194" s="77">
        <v>362.6</v>
      </c>
      <c r="L194" s="66">
        <f t="shared" si="78"/>
        <v>2900.8</v>
      </c>
      <c r="M194" s="5">
        <f t="shared" si="44"/>
        <v>734060.00000000012</v>
      </c>
      <c r="N194" s="78" t="s">
        <v>597</v>
      </c>
      <c r="O194" s="64">
        <v>8</v>
      </c>
      <c r="P194" s="67">
        <f t="shared" si="65"/>
        <v>0</v>
      </c>
      <c r="Q194" s="68" t="s">
        <v>598</v>
      </c>
      <c r="R194" s="68"/>
    </row>
    <row r="195" spans="1:18" ht="29" x14ac:dyDescent="0.35">
      <c r="A195" s="70">
        <v>44551</v>
      </c>
      <c r="B195" s="51">
        <f t="shared" si="79"/>
        <v>12</v>
      </c>
      <c r="C195" s="11">
        <f t="shared" si="80"/>
        <v>2021</v>
      </c>
      <c r="D195" s="97" t="s">
        <v>594</v>
      </c>
      <c r="E195" s="24" t="s">
        <v>502</v>
      </c>
      <c r="F195" s="80" t="s">
        <v>592</v>
      </c>
      <c r="G195" s="80" t="s">
        <v>592</v>
      </c>
      <c r="H195" s="83" t="s">
        <v>51</v>
      </c>
      <c r="I195" s="65">
        <v>2</v>
      </c>
      <c r="J195" s="69" t="s">
        <v>1</v>
      </c>
      <c r="K195" s="77">
        <v>486</v>
      </c>
      <c r="L195" s="66">
        <f t="shared" si="78"/>
        <v>972</v>
      </c>
      <c r="M195" s="5">
        <f t="shared" si="44"/>
        <v>735032.00000000012</v>
      </c>
      <c r="N195" s="78" t="s">
        <v>700</v>
      </c>
      <c r="O195" s="64">
        <f>1+1</f>
        <v>2</v>
      </c>
      <c r="P195" s="67">
        <f t="shared" si="65"/>
        <v>0</v>
      </c>
      <c r="Q195" s="68" t="s">
        <v>701</v>
      </c>
      <c r="R195" s="68"/>
    </row>
    <row r="196" spans="1:18" ht="29" x14ac:dyDescent="0.35">
      <c r="A196" s="70">
        <v>44551</v>
      </c>
      <c r="B196" s="51">
        <f t="shared" si="79"/>
        <v>12</v>
      </c>
      <c r="C196" s="11">
        <f t="shared" si="80"/>
        <v>2021</v>
      </c>
      <c r="D196" s="97" t="s">
        <v>594</v>
      </c>
      <c r="E196" s="24" t="s">
        <v>502</v>
      </c>
      <c r="F196" s="80" t="s">
        <v>593</v>
      </c>
      <c r="G196" s="80" t="s">
        <v>593</v>
      </c>
      <c r="H196" s="83" t="s">
        <v>51</v>
      </c>
      <c r="I196" s="65">
        <v>4</v>
      </c>
      <c r="J196" s="69" t="s">
        <v>1</v>
      </c>
      <c r="K196" s="77">
        <v>595.20000000000005</v>
      </c>
      <c r="L196" s="66">
        <f t="shared" si="78"/>
        <v>2380.8000000000002</v>
      </c>
      <c r="M196" s="5">
        <f t="shared" si="44"/>
        <v>737412.80000000016</v>
      </c>
      <c r="N196" s="78" t="s">
        <v>599</v>
      </c>
      <c r="O196" s="64">
        <v>4</v>
      </c>
      <c r="P196" s="67">
        <f t="shared" si="65"/>
        <v>0</v>
      </c>
      <c r="Q196" s="68" t="s">
        <v>600</v>
      </c>
      <c r="R196" s="68"/>
    </row>
    <row r="197" spans="1:18" ht="29" x14ac:dyDescent="0.35">
      <c r="A197" s="70">
        <v>44554</v>
      </c>
      <c r="B197" s="51">
        <f t="shared" ref="B197:B198" si="81">MONTH(A197)</f>
        <v>12</v>
      </c>
      <c r="C197" s="11">
        <f t="shared" ref="C197:C198" si="82">YEAR(A197)</f>
        <v>2021</v>
      </c>
      <c r="D197" s="97" t="s">
        <v>603</v>
      </c>
      <c r="E197" s="24" t="s">
        <v>502</v>
      </c>
      <c r="F197" s="80" t="s">
        <v>591</v>
      </c>
      <c r="G197" s="80" t="s">
        <v>591</v>
      </c>
      <c r="H197" s="83" t="s">
        <v>51</v>
      </c>
      <c r="I197" s="65">
        <v>2</v>
      </c>
      <c r="J197" s="69" t="s">
        <v>1</v>
      </c>
      <c r="K197" s="77">
        <v>362.6</v>
      </c>
      <c r="L197" s="66">
        <f t="shared" si="78"/>
        <v>725.2</v>
      </c>
      <c r="M197" s="5">
        <f t="shared" si="44"/>
        <v>738138.00000000012</v>
      </c>
      <c r="N197" s="78" t="s">
        <v>605</v>
      </c>
      <c r="O197" s="64">
        <v>2</v>
      </c>
      <c r="P197" s="67">
        <f t="shared" si="65"/>
        <v>0</v>
      </c>
      <c r="Q197" s="68" t="s">
        <v>606</v>
      </c>
      <c r="R197" s="68"/>
    </row>
    <row r="198" spans="1:18" ht="29" x14ac:dyDescent="0.35">
      <c r="A198" s="70">
        <v>44557</v>
      </c>
      <c r="B198" s="51">
        <f t="shared" si="81"/>
        <v>12</v>
      </c>
      <c r="C198" s="11">
        <f t="shared" si="82"/>
        <v>2021</v>
      </c>
      <c r="D198" s="97" t="s">
        <v>604</v>
      </c>
      <c r="E198" s="24" t="s">
        <v>502</v>
      </c>
      <c r="F198" s="80" t="s">
        <v>591</v>
      </c>
      <c r="G198" s="80" t="s">
        <v>591</v>
      </c>
      <c r="H198" s="83" t="s">
        <v>51</v>
      </c>
      <c r="I198" s="65">
        <v>2</v>
      </c>
      <c r="J198" s="69" t="s">
        <v>1</v>
      </c>
      <c r="K198" s="77">
        <v>362.6</v>
      </c>
      <c r="L198" s="66">
        <f t="shared" si="78"/>
        <v>725.2</v>
      </c>
      <c r="M198" s="5">
        <f t="shared" si="44"/>
        <v>738863.20000000007</v>
      </c>
      <c r="N198" s="78" t="s">
        <v>607</v>
      </c>
      <c r="O198" s="64">
        <v>2</v>
      </c>
      <c r="P198" s="67">
        <f t="shared" si="65"/>
        <v>0</v>
      </c>
      <c r="Q198" s="68" t="s">
        <v>608</v>
      </c>
      <c r="R198" s="68"/>
    </row>
    <row r="199" spans="1:18" ht="29" x14ac:dyDescent="0.35">
      <c r="A199" s="70">
        <v>44557</v>
      </c>
      <c r="B199" s="51">
        <f t="shared" ref="B199" si="83">MONTH(A199)</f>
        <v>12</v>
      </c>
      <c r="C199" s="11">
        <f t="shared" ref="C199" si="84">YEAR(A199)</f>
        <v>2021</v>
      </c>
      <c r="D199" s="97" t="s">
        <v>647</v>
      </c>
      <c r="E199" s="12" t="s">
        <v>10</v>
      </c>
      <c r="F199" s="80" t="s">
        <v>614</v>
      </c>
      <c r="G199" s="80" t="s">
        <v>614</v>
      </c>
      <c r="H199" s="83" t="s">
        <v>47</v>
      </c>
      <c r="I199" s="65">
        <v>20</v>
      </c>
      <c r="J199" s="69" t="s">
        <v>1</v>
      </c>
      <c r="K199" s="77">
        <v>264</v>
      </c>
      <c r="L199" s="66">
        <f t="shared" si="78"/>
        <v>5280</v>
      </c>
      <c r="M199" s="5">
        <f t="shared" si="44"/>
        <v>744143.20000000007</v>
      </c>
      <c r="N199" s="78" t="s">
        <v>611</v>
      </c>
      <c r="O199" s="64">
        <f>5+15</f>
        <v>20</v>
      </c>
      <c r="P199" s="67">
        <f t="shared" si="65"/>
        <v>0</v>
      </c>
      <c r="Q199" s="68" t="s">
        <v>612</v>
      </c>
      <c r="R199" s="68"/>
    </row>
    <row r="200" spans="1:18" ht="87" x14ac:dyDescent="0.35">
      <c r="A200" s="70">
        <v>44557</v>
      </c>
      <c r="B200" s="51">
        <f t="shared" ref="B200:B210" si="85">MONTH(A200)</f>
        <v>12</v>
      </c>
      <c r="C200" s="11">
        <f t="shared" ref="C200:C210" si="86">YEAR(A200)</f>
        <v>2021</v>
      </c>
      <c r="D200" s="97" t="s">
        <v>647</v>
      </c>
      <c r="E200" s="12" t="s">
        <v>10</v>
      </c>
      <c r="F200" s="80" t="s">
        <v>613</v>
      </c>
      <c r="G200" s="80" t="s">
        <v>613</v>
      </c>
      <c r="H200" s="83" t="s">
        <v>47</v>
      </c>
      <c r="I200" s="65">
        <v>20</v>
      </c>
      <c r="J200" s="69" t="s">
        <v>1</v>
      </c>
      <c r="K200" s="77">
        <v>528</v>
      </c>
      <c r="L200" s="66">
        <f t="shared" si="78"/>
        <v>10560</v>
      </c>
      <c r="M200" s="5">
        <f t="shared" si="44"/>
        <v>754703.20000000007</v>
      </c>
      <c r="N200" s="86" t="s">
        <v>730</v>
      </c>
      <c r="O200" s="64">
        <f>11+2+4+1+1+1</f>
        <v>20</v>
      </c>
      <c r="P200" s="67">
        <f t="shared" si="65"/>
        <v>0</v>
      </c>
      <c r="Q200" s="68" t="s">
        <v>731</v>
      </c>
      <c r="R200" s="68"/>
    </row>
    <row r="201" spans="1:18" ht="43.5" x14ac:dyDescent="0.35">
      <c r="A201" s="70">
        <v>44561</v>
      </c>
      <c r="B201" s="51">
        <f t="shared" si="85"/>
        <v>12</v>
      </c>
      <c r="C201" s="11">
        <f t="shared" si="86"/>
        <v>2021</v>
      </c>
      <c r="D201" s="97" t="s">
        <v>909</v>
      </c>
      <c r="E201" s="12" t="s">
        <v>10</v>
      </c>
      <c r="F201" s="80" t="s">
        <v>614</v>
      </c>
      <c r="G201" s="80" t="s">
        <v>614</v>
      </c>
      <c r="H201" s="83" t="s">
        <v>47</v>
      </c>
      <c r="I201" s="65">
        <v>20</v>
      </c>
      <c r="J201" s="69" t="s">
        <v>1</v>
      </c>
      <c r="K201" s="77">
        <v>279</v>
      </c>
      <c r="L201" s="66">
        <f t="shared" si="78"/>
        <v>5580</v>
      </c>
      <c r="M201" s="5">
        <f t="shared" si="44"/>
        <v>760283.20000000007</v>
      </c>
      <c r="N201" s="86" t="s">
        <v>702</v>
      </c>
      <c r="O201" s="64">
        <f>4+3+7+6</f>
        <v>20</v>
      </c>
      <c r="P201" s="67">
        <f t="shared" si="65"/>
        <v>0</v>
      </c>
      <c r="Q201" s="68" t="s">
        <v>703</v>
      </c>
      <c r="R201" s="68"/>
    </row>
    <row r="202" spans="1:18" ht="29" x14ac:dyDescent="0.35">
      <c r="A202" s="70">
        <v>44571</v>
      </c>
      <c r="B202" s="51">
        <f t="shared" si="85"/>
        <v>1</v>
      </c>
      <c r="C202" s="11">
        <f t="shared" si="86"/>
        <v>2022</v>
      </c>
      <c r="D202" s="97" t="s">
        <v>649</v>
      </c>
      <c r="E202" s="65" t="s">
        <v>347</v>
      </c>
      <c r="F202" s="39" t="s">
        <v>583</v>
      </c>
      <c r="G202" s="39" t="s">
        <v>583</v>
      </c>
      <c r="H202" s="83" t="s">
        <v>51</v>
      </c>
      <c r="I202" s="65">
        <v>4</v>
      </c>
      <c r="J202" s="69" t="s">
        <v>0</v>
      </c>
      <c r="K202" s="77">
        <v>1936</v>
      </c>
      <c r="L202" s="66">
        <f t="shared" si="78"/>
        <v>7744</v>
      </c>
      <c r="M202" s="5">
        <f t="shared" si="44"/>
        <v>768027.20000000007</v>
      </c>
      <c r="N202" s="78" t="s">
        <v>660</v>
      </c>
      <c r="O202" s="64">
        <f>3+1</f>
        <v>4</v>
      </c>
      <c r="P202" s="67">
        <f t="shared" si="65"/>
        <v>0</v>
      </c>
      <c r="Q202" s="68" t="s">
        <v>661</v>
      </c>
      <c r="R202" s="68"/>
    </row>
    <row r="203" spans="1:18" ht="29" x14ac:dyDescent="0.35">
      <c r="A203" s="70">
        <v>44571</v>
      </c>
      <c r="B203" s="51">
        <f t="shared" si="85"/>
        <v>1</v>
      </c>
      <c r="C203" s="11">
        <f t="shared" si="86"/>
        <v>2022</v>
      </c>
      <c r="D203" s="97" t="s">
        <v>649</v>
      </c>
      <c r="E203" s="65" t="s">
        <v>347</v>
      </c>
      <c r="F203" s="80" t="s">
        <v>489</v>
      </c>
      <c r="G203" s="80" t="s">
        <v>489</v>
      </c>
      <c r="H203" s="83" t="s">
        <v>51</v>
      </c>
      <c r="I203" s="65">
        <v>6</v>
      </c>
      <c r="J203" s="69" t="s">
        <v>0</v>
      </c>
      <c r="K203" s="77">
        <v>1936</v>
      </c>
      <c r="L203" s="66">
        <f t="shared" si="78"/>
        <v>11616</v>
      </c>
      <c r="M203" s="5">
        <f t="shared" si="44"/>
        <v>779643.20000000007</v>
      </c>
      <c r="N203" s="86" t="s">
        <v>634</v>
      </c>
      <c r="O203" s="64">
        <f>4+2</f>
        <v>6</v>
      </c>
      <c r="P203" s="67">
        <f t="shared" si="65"/>
        <v>0</v>
      </c>
      <c r="Q203" s="68" t="s">
        <v>633</v>
      </c>
      <c r="R203" s="68"/>
    </row>
    <row r="204" spans="1:18" ht="29" x14ac:dyDescent="0.35">
      <c r="A204" s="70">
        <v>44571</v>
      </c>
      <c r="B204" s="51">
        <f t="shared" si="85"/>
        <v>1</v>
      </c>
      <c r="C204" s="11">
        <f t="shared" si="86"/>
        <v>2022</v>
      </c>
      <c r="D204" s="97" t="s">
        <v>649</v>
      </c>
      <c r="E204" s="65" t="s">
        <v>347</v>
      </c>
      <c r="F204" s="80" t="s">
        <v>624</v>
      </c>
      <c r="G204" s="80" t="s">
        <v>624</v>
      </c>
      <c r="H204" s="83" t="s">
        <v>51</v>
      </c>
      <c r="I204" s="65">
        <v>20</v>
      </c>
      <c r="J204" s="69" t="s">
        <v>1</v>
      </c>
      <c r="K204" s="77">
        <v>270</v>
      </c>
      <c r="L204" s="66">
        <f t="shared" si="78"/>
        <v>5400</v>
      </c>
      <c r="M204" s="5">
        <f t="shared" si="44"/>
        <v>785043.20000000007</v>
      </c>
      <c r="N204" s="78" t="s">
        <v>623</v>
      </c>
      <c r="O204" s="64">
        <v>20</v>
      </c>
      <c r="P204" s="67">
        <f t="shared" si="65"/>
        <v>0</v>
      </c>
      <c r="Q204" s="68" t="s">
        <v>629</v>
      </c>
      <c r="R204" s="68"/>
    </row>
    <row r="205" spans="1:18" ht="29" x14ac:dyDescent="0.35">
      <c r="A205" s="70">
        <v>44571</v>
      </c>
      <c r="B205" s="51">
        <f t="shared" si="85"/>
        <v>1</v>
      </c>
      <c r="C205" s="11">
        <f t="shared" si="86"/>
        <v>2022</v>
      </c>
      <c r="D205" s="97" t="s">
        <v>649</v>
      </c>
      <c r="E205" s="65" t="s">
        <v>347</v>
      </c>
      <c r="F205" s="80" t="s">
        <v>625</v>
      </c>
      <c r="G205" s="80" t="s">
        <v>625</v>
      </c>
      <c r="H205" s="83" t="s">
        <v>51</v>
      </c>
      <c r="I205" s="65">
        <v>2</v>
      </c>
      <c r="J205" s="69" t="s">
        <v>1</v>
      </c>
      <c r="K205" s="77">
        <v>270</v>
      </c>
      <c r="L205" s="66">
        <f t="shared" si="78"/>
        <v>540</v>
      </c>
      <c r="M205" s="5">
        <f t="shared" si="44"/>
        <v>785583.20000000007</v>
      </c>
      <c r="N205" s="78" t="s">
        <v>644</v>
      </c>
      <c r="O205" s="64">
        <f>1+1</f>
        <v>2</v>
      </c>
      <c r="P205" s="67">
        <f t="shared" si="65"/>
        <v>0</v>
      </c>
      <c r="Q205" s="68" t="s">
        <v>645</v>
      </c>
      <c r="R205" s="68"/>
    </row>
    <row r="206" spans="1:18" ht="29" x14ac:dyDescent="0.35">
      <c r="A206" s="70">
        <v>44575</v>
      </c>
      <c r="B206" s="51">
        <f t="shared" si="85"/>
        <v>1</v>
      </c>
      <c r="C206" s="11">
        <f t="shared" si="86"/>
        <v>2022</v>
      </c>
      <c r="D206" s="97" t="s">
        <v>650</v>
      </c>
      <c r="E206" s="65" t="s">
        <v>347</v>
      </c>
      <c r="F206" s="39" t="s">
        <v>583</v>
      </c>
      <c r="G206" s="39" t="s">
        <v>583</v>
      </c>
      <c r="H206" s="83" t="s">
        <v>51</v>
      </c>
      <c r="I206" s="65">
        <v>8</v>
      </c>
      <c r="J206" s="69" t="s">
        <v>0</v>
      </c>
      <c r="K206" s="77">
        <v>1936</v>
      </c>
      <c r="L206" s="66">
        <f t="shared" si="78"/>
        <v>15488</v>
      </c>
      <c r="M206" s="5">
        <f t="shared" si="44"/>
        <v>801071.20000000007</v>
      </c>
      <c r="N206" s="78" t="s">
        <v>635</v>
      </c>
      <c r="O206" s="64">
        <v>8</v>
      </c>
      <c r="P206" s="67">
        <f t="shared" si="65"/>
        <v>0</v>
      </c>
      <c r="Q206" s="68" t="s">
        <v>636</v>
      </c>
      <c r="R206" s="68"/>
    </row>
    <row r="207" spans="1:18" x14ac:dyDescent="0.35">
      <c r="A207" s="70">
        <v>44575</v>
      </c>
      <c r="B207" s="51">
        <f t="shared" si="85"/>
        <v>1</v>
      </c>
      <c r="C207" s="11">
        <f t="shared" si="86"/>
        <v>2022</v>
      </c>
      <c r="D207" s="97" t="s">
        <v>650</v>
      </c>
      <c r="E207" s="65" t="s">
        <v>347</v>
      </c>
      <c r="F207" s="80" t="s">
        <v>489</v>
      </c>
      <c r="G207" s="80" t="s">
        <v>489</v>
      </c>
      <c r="H207" s="83" t="s">
        <v>51</v>
      </c>
      <c r="I207" s="65">
        <v>2</v>
      </c>
      <c r="J207" s="69" t="s">
        <v>0</v>
      </c>
      <c r="K207" s="77">
        <v>1936</v>
      </c>
      <c r="L207" s="66">
        <f t="shared" si="78"/>
        <v>3872</v>
      </c>
      <c r="M207" s="5">
        <f t="shared" si="44"/>
        <v>804943.20000000007</v>
      </c>
      <c r="N207" s="78" t="s">
        <v>637</v>
      </c>
      <c r="O207" s="64">
        <v>2</v>
      </c>
      <c r="P207" s="67">
        <f t="shared" si="65"/>
        <v>0</v>
      </c>
      <c r="Q207" s="68" t="s">
        <v>638</v>
      </c>
      <c r="R207" s="68"/>
    </row>
    <row r="208" spans="1:18" ht="87" x14ac:dyDescent="0.35">
      <c r="A208" s="70">
        <v>44575</v>
      </c>
      <c r="B208" s="51">
        <f t="shared" si="85"/>
        <v>1</v>
      </c>
      <c r="C208" s="11">
        <f t="shared" si="86"/>
        <v>2022</v>
      </c>
      <c r="D208" s="97" t="s">
        <v>650</v>
      </c>
      <c r="E208" s="65" t="s">
        <v>347</v>
      </c>
      <c r="F208" s="80" t="s">
        <v>632</v>
      </c>
      <c r="G208" s="80" t="s">
        <v>632</v>
      </c>
      <c r="H208" s="83" t="s">
        <v>51</v>
      </c>
      <c r="I208" s="65">
        <v>20</v>
      </c>
      <c r="J208" s="69" t="s">
        <v>1</v>
      </c>
      <c r="K208" s="77">
        <v>283.5</v>
      </c>
      <c r="L208" s="66">
        <f t="shared" si="78"/>
        <v>5670</v>
      </c>
      <c r="M208" s="5">
        <f t="shared" si="44"/>
        <v>810613.20000000007</v>
      </c>
      <c r="N208" s="86" t="s">
        <v>736</v>
      </c>
      <c r="O208" s="64">
        <f>11+5+1+1+1+1</f>
        <v>20</v>
      </c>
      <c r="P208" s="67">
        <f t="shared" si="65"/>
        <v>0</v>
      </c>
      <c r="Q208" s="68" t="s">
        <v>737</v>
      </c>
      <c r="R208" s="68"/>
    </row>
    <row r="209" spans="1:18" ht="43.5" x14ac:dyDescent="0.35">
      <c r="A209" s="70">
        <v>44567</v>
      </c>
      <c r="B209" s="51">
        <f t="shared" si="85"/>
        <v>1</v>
      </c>
      <c r="C209" s="11">
        <f t="shared" si="86"/>
        <v>2022</v>
      </c>
      <c r="D209" s="97" t="s">
        <v>648</v>
      </c>
      <c r="E209" s="65" t="s">
        <v>307</v>
      </c>
      <c r="F209" s="39" t="s">
        <v>643</v>
      </c>
      <c r="G209" s="39" t="s">
        <v>643</v>
      </c>
      <c r="H209" s="83" t="s">
        <v>51</v>
      </c>
      <c r="I209" s="65">
        <v>4</v>
      </c>
      <c r="J209" s="69" t="s">
        <v>125</v>
      </c>
      <c r="K209" s="77">
        <v>305</v>
      </c>
      <c r="L209" s="66">
        <f t="shared" si="78"/>
        <v>1220</v>
      </c>
      <c r="M209" s="5">
        <f t="shared" si="44"/>
        <v>811833.20000000007</v>
      </c>
      <c r="N209" s="86" t="s">
        <v>708</v>
      </c>
      <c r="O209" s="64">
        <f>1+2+1</f>
        <v>4</v>
      </c>
      <c r="P209" s="67">
        <f t="shared" si="65"/>
        <v>0</v>
      </c>
      <c r="Q209" s="68" t="s">
        <v>709</v>
      </c>
      <c r="R209" s="68"/>
    </row>
    <row r="210" spans="1:18" ht="43.5" x14ac:dyDescent="0.35">
      <c r="A210" s="70">
        <v>44575</v>
      </c>
      <c r="B210" s="51">
        <f t="shared" si="85"/>
        <v>1</v>
      </c>
      <c r="C210" s="11">
        <f t="shared" si="86"/>
        <v>2022</v>
      </c>
      <c r="D210" s="97" t="s">
        <v>651</v>
      </c>
      <c r="E210" s="65" t="s">
        <v>347</v>
      </c>
      <c r="F210" s="80" t="s">
        <v>625</v>
      </c>
      <c r="G210" s="80" t="s">
        <v>625</v>
      </c>
      <c r="H210" s="83" t="s">
        <v>51</v>
      </c>
      <c r="I210" s="65">
        <v>6</v>
      </c>
      <c r="J210" s="69" t="s">
        <v>1</v>
      </c>
      <c r="K210" s="77">
        <v>270</v>
      </c>
      <c r="L210" s="66">
        <f t="shared" si="78"/>
        <v>1620</v>
      </c>
      <c r="M210" s="5">
        <f t="shared" si="44"/>
        <v>813453.20000000007</v>
      </c>
      <c r="N210" s="86" t="s">
        <v>668</v>
      </c>
      <c r="O210" s="64">
        <f>4+1+1</f>
        <v>6</v>
      </c>
      <c r="P210" s="67">
        <f t="shared" si="65"/>
        <v>0</v>
      </c>
      <c r="Q210" s="81" t="s">
        <v>669</v>
      </c>
      <c r="R210" s="68"/>
    </row>
    <row r="211" spans="1:18" ht="29" x14ac:dyDescent="0.35">
      <c r="A211" s="70">
        <v>44575</v>
      </c>
      <c r="B211" s="51">
        <f t="shared" ref="B211:B220" si="87">MONTH(A211)</f>
        <v>1</v>
      </c>
      <c r="C211" s="11">
        <f t="shared" ref="C211:C220" si="88">YEAR(A211)</f>
        <v>2022</v>
      </c>
      <c r="D211" s="97" t="s">
        <v>651</v>
      </c>
      <c r="E211" s="65" t="s">
        <v>347</v>
      </c>
      <c r="F211" s="80" t="s">
        <v>624</v>
      </c>
      <c r="G211" s="80" t="s">
        <v>624</v>
      </c>
      <c r="H211" s="83" t="s">
        <v>51</v>
      </c>
      <c r="I211" s="65">
        <v>4</v>
      </c>
      <c r="J211" s="69" t="s">
        <v>1</v>
      </c>
      <c r="K211" s="77">
        <v>270</v>
      </c>
      <c r="L211" s="66">
        <f t="shared" si="78"/>
        <v>1080</v>
      </c>
      <c r="M211" s="5">
        <f t="shared" si="44"/>
        <v>814533.20000000007</v>
      </c>
      <c r="N211" s="78" t="s">
        <v>681</v>
      </c>
      <c r="O211" s="64">
        <f>4</f>
        <v>4</v>
      </c>
      <c r="P211" s="67">
        <f t="shared" si="65"/>
        <v>0</v>
      </c>
      <c r="Q211" s="68" t="s">
        <v>682</v>
      </c>
      <c r="R211" s="68"/>
    </row>
    <row r="212" spans="1:18" ht="29" x14ac:dyDescent="0.35">
      <c r="A212" s="70">
        <v>44578</v>
      </c>
      <c r="B212" s="51">
        <f t="shared" si="87"/>
        <v>1</v>
      </c>
      <c r="C212" s="11">
        <f t="shared" si="88"/>
        <v>2022</v>
      </c>
      <c r="D212" s="97" t="s">
        <v>652</v>
      </c>
      <c r="E212" s="65" t="s">
        <v>347</v>
      </c>
      <c r="F212" s="39" t="s">
        <v>583</v>
      </c>
      <c r="G212" s="39" t="s">
        <v>583</v>
      </c>
      <c r="H212" s="83" t="s">
        <v>51</v>
      </c>
      <c r="I212" s="65">
        <v>4</v>
      </c>
      <c r="J212" s="69" t="s">
        <v>0</v>
      </c>
      <c r="K212" s="77">
        <v>1936</v>
      </c>
      <c r="L212" s="66">
        <f t="shared" si="78"/>
        <v>7744</v>
      </c>
      <c r="M212" s="5">
        <f t="shared" si="44"/>
        <v>822277.20000000007</v>
      </c>
      <c r="N212" s="78" t="s">
        <v>690</v>
      </c>
      <c r="O212" s="64">
        <f>2+2</f>
        <v>4</v>
      </c>
      <c r="P212" s="67">
        <f t="shared" si="65"/>
        <v>0</v>
      </c>
      <c r="Q212" s="68" t="s">
        <v>691</v>
      </c>
      <c r="R212" s="68"/>
    </row>
    <row r="213" spans="1:18" ht="29" x14ac:dyDescent="0.35">
      <c r="A213" s="70">
        <v>44578</v>
      </c>
      <c r="B213" s="51">
        <f t="shared" si="87"/>
        <v>1</v>
      </c>
      <c r="C213" s="11">
        <f t="shared" si="88"/>
        <v>2022</v>
      </c>
      <c r="D213" s="97" t="s">
        <v>652</v>
      </c>
      <c r="E213" s="65" t="s">
        <v>347</v>
      </c>
      <c r="F213" s="80" t="s">
        <v>653</v>
      </c>
      <c r="G213" s="80" t="s">
        <v>653</v>
      </c>
      <c r="H213" s="83" t="s">
        <v>51</v>
      </c>
      <c r="I213" s="65">
        <v>1</v>
      </c>
      <c r="J213" s="69" t="s">
        <v>0</v>
      </c>
      <c r="K213" s="77">
        <v>1936</v>
      </c>
      <c r="L213" s="66">
        <f t="shared" ref="L213:L235" si="89">SUM(I213*K213)</f>
        <v>1936</v>
      </c>
      <c r="M213" s="5">
        <f t="shared" si="44"/>
        <v>824213.20000000007</v>
      </c>
      <c r="N213" s="78" t="s">
        <v>657</v>
      </c>
      <c r="O213" s="64">
        <v>1</v>
      </c>
      <c r="P213" s="67">
        <f t="shared" si="65"/>
        <v>0</v>
      </c>
      <c r="Q213" s="81" t="s">
        <v>658</v>
      </c>
      <c r="R213" s="68"/>
    </row>
    <row r="214" spans="1:18" ht="72.5" x14ac:dyDescent="0.35">
      <c r="A214" s="70">
        <v>44578</v>
      </c>
      <c r="B214" s="51">
        <f t="shared" si="87"/>
        <v>1</v>
      </c>
      <c r="C214" s="11">
        <f t="shared" si="88"/>
        <v>2022</v>
      </c>
      <c r="D214" s="97" t="s">
        <v>652</v>
      </c>
      <c r="E214" s="65" t="s">
        <v>347</v>
      </c>
      <c r="F214" s="76" t="s">
        <v>683</v>
      </c>
      <c r="G214" s="76" t="s">
        <v>683</v>
      </c>
      <c r="H214" s="83" t="s">
        <v>51</v>
      </c>
      <c r="I214" s="65">
        <v>12</v>
      </c>
      <c r="J214" s="69" t="s">
        <v>125</v>
      </c>
      <c r="K214" s="77">
        <v>46</v>
      </c>
      <c r="L214" s="66">
        <f t="shared" si="89"/>
        <v>552</v>
      </c>
      <c r="M214" s="5">
        <f t="shared" ref="M214:M235" si="90">SUM(M213+L214)</f>
        <v>824765.20000000007</v>
      </c>
      <c r="N214" s="86" t="s">
        <v>1168</v>
      </c>
      <c r="O214" s="64">
        <f>3+2+1+2+3</f>
        <v>11</v>
      </c>
      <c r="P214" s="67">
        <f t="shared" si="65"/>
        <v>1</v>
      </c>
      <c r="Q214" s="68" t="s">
        <v>1169</v>
      </c>
      <c r="R214" s="68"/>
    </row>
    <row r="215" spans="1:18" ht="130.5" x14ac:dyDescent="0.35">
      <c r="A215" s="70">
        <v>44578</v>
      </c>
      <c r="B215" s="51">
        <f t="shared" si="87"/>
        <v>1</v>
      </c>
      <c r="C215" s="11">
        <f t="shared" si="88"/>
        <v>2022</v>
      </c>
      <c r="D215" s="97" t="s">
        <v>910</v>
      </c>
      <c r="E215" s="65" t="s">
        <v>10</v>
      </c>
      <c r="F215" s="76" t="s">
        <v>28</v>
      </c>
      <c r="G215" s="76" t="s">
        <v>28</v>
      </c>
      <c r="H215" s="83" t="s">
        <v>47</v>
      </c>
      <c r="I215" s="65">
        <v>40</v>
      </c>
      <c r="J215" s="69" t="s">
        <v>217</v>
      </c>
      <c r="K215" s="77">
        <v>32.5</v>
      </c>
      <c r="L215" s="66">
        <f t="shared" si="89"/>
        <v>1300</v>
      </c>
      <c r="M215" s="5">
        <f t="shared" si="90"/>
        <v>826065.20000000007</v>
      </c>
      <c r="N215" s="86" t="s">
        <v>775</v>
      </c>
      <c r="O215" s="64">
        <f>1+10+1+5+10+2+4+2+2+3</f>
        <v>40</v>
      </c>
      <c r="P215" s="67">
        <f t="shared" si="65"/>
        <v>0</v>
      </c>
      <c r="Q215" s="68" t="s">
        <v>768</v>
      </c>
      <c r="R215" s="68"/>
    </row>
    <row r="216" spans="1:18" ht="72.5" x14ac:dyDescent="0.35">
      <c r="A216" s="70">
        <v>44578</v>
      </c>
      <c r="B216" s="51">
        <f t="shared" ref="B216:B219" si="91">MONTH(A216)</f>
        <v>1</v>
      </c>
      <c r="C216" s="11">
        <f t="shared" ref="C216:C219" si="92">YEAR(A216)</f>
        <v>2022</v>
      </c>
      <c r="D216" s="97" t="s">
        <v>910</v>
      </c>
      <c r="E216" s="65" t="s">
        <v>10</v>
      </c>
      <c r="F216" s="80" t="s">
        <v>29</v>
      </c>
      <c r="G216" s="80" t="s">
        <v>29</v>
      </c>
      <c r="H216" s="83" t="s">
        <v>47</v>
      </c>
      <c r="I216" s="65">
        <v>15</v>
      </c>
      <c r="J216" s="69" t="s">
        <v>0</v>
      </c>
      <c r="K216" s="77">
        <v>1815</v>
      </c>
      <c r="L216" s="66">
        <f t="shared" si="89"/>
        <v>27225</v>
      </c>
      <c r="M216" s="5">
        <f t="shared" si="90"/>
        <v>853290.20000000007</v>
      </c>
      <c r="N216" s="86" t="s">
        <v>664</v>
      </c>
      <c r="O216" s="64">
        <f>3+1+6+1+4</f>
        <v>15</v>
      </c>
      <c r="P216" s="67">
        <f t="shared" si="65"/>
        <v>0</v>
      </c>
      <c r="Q216" s="68" t="s">
        <v>665</v>
      </c>
      <c r="R216" s="68"/>
    </row>
    <row r="217" spans="1:18" x14ac:dyDescent="0.35">
      <c r="A217" s="70">
        <v>44578</v>
      </c>
      <c r="B217" s="51">
        <f t="shared" si="91"/>
        <v>1</v>
      </c>
      <c r="C217" s="11">
        <f t="shared" si="92"/>
        <v>2022</v>
      </c>
      <c r="D217" s="97" t="s">
        <v>910</v>
      </c>
      <c r="E217" s="65" t="s">
        <v>10</v>
      </c>
      <c r="F217" s="76" t="s">
        <v>265</v>
      </c>
      <c r="G217" s="76" t="s">
        <v>265</v>
      </c>
      <c r="H217" s="83" t="s">
        <v>47</v>
      </c>
      <c r="I217" s="65">
        <v>1</v>
      </c>
      <c r="J217" s="69" t="s">
        <v>215</v>
      </c>
      <c r="K217" s="77">
        <v>345</v>
      </c>
      <c r="L217" s="66">
        <f t="shared" si="89"/>
        <v>345</v>
      </c>
      <c r="M217" s="5">
        <f t="shared" si="90"/>
        <v>853635.20000000007</v>
      </c>
      <c r="N217" s="78" t="s">
        <v>657</v>
      </c>
      <c r="O217" s="64">
        <v>1</v>
      </c>
      <c r="P217" s="67">
        <f t="shared" si="65"/>
        <v>0</v>
      </c>
      <c r="Q217" s="81" t="s">
        <v>659</v>
      </c>
      <c r="R217" s="68"/>
    </row>
    <row r="218" spans="1:18" ht="101.5" x14ac:dyDescent="0.35">
      <c r="A218" s="70">
        <v>44578</v>
      </c>
      <c r="B218" s="51">
        <f t="shared" si="91"/>
        <v>1</v>
      </c>
      <c r="C218" s="11">
        <f t="shared" si="92"/>
        <v>2022</v>
      </c>
      <c r="D218" s="97" t="s">
        <v>910</v>
      </c>
      <c r="E218" s="65" t="s">
        <v>10</v>
      </c>
      <c r="F218" s="76" t="s">
        <v>405</v>
      </c>
      <c r="G218" s="76" t="s">
        <v>405</v>
      </c>
      <c r="H218" s="83" t="s">
        <v>47</v>
      </c>
      <c r="I218" s="65">
        <v>20</v>
      </c>
      <c r="J218" s="69" t="s">
        <v>25</v>
      </c>
      <c r="K218" s="77">
        <v>65</v>
      </c>
      <c r="L218" s="66">
        <f t="shared" si="89"/>
        <v>1300</v>
      </c>
      <c r="M218" s="5">
        <f t="shared" si="90"/>
        <v>854935.20000000007</v>
      </c>
      <c r="N218" s="86" t="s">
        <v>750</v>
      </c>
      <c r="O218" s="64">
        <f>3+4+2+4+1+4+2</f>
        <v>20</v>
      </c>
      <c r="P218" s="67">
        <f t="shared" si="65"/>
        <v>0</v>
      </c>
      <c r="Q218" s="68" t="s">
        <v>751</v>
      </c>
      <c r="R218" s="68"/>
    </row>
    <row r="219" spans="1:18" ht="43.5" x14ac:dyDescent="0.35">
      <c r="A219" s="70">
        <v>44578</v>
      </c>
      <c r="B219" s="51">
        <f t="shared" si="91"/>
        <v>1</v>
      </c>
      <c r="C219" s="11">
        <f t="shared" si="92"/>
        <v>2022</v>
      </c>
      <c r="D219" s="97" t="s">
        <v>911</v>
      </c>
      <c r="E219" s="65" t="s">
        <v>10</v>
      </c>
      <c r="F219" s="80" t="s">
        <v>29</v>
      </c>
      <c r="G219" s="80" t="s">
        <v>29</v>
      </c>
      <c r="H219" s="83" t="s">
        <v>47</v>
      </c>
      <c r="I219" s="65">
        <v>5</v>
      </c>
      <c r="J219" s="69" t="s">
        <v>0</v>
      </c>
      <c r="K219" s="77">
        <v>1815</v>
      </c>
      <c r="L219" s="66">
        <f t="shared" si="89"/>
        <v>9075</v>
      </c>
      <c r="M219" s="5">
        <f t="shared" si="90"/>
        <v>864010.20000000007</v>
      </c>
      <c r="N219" s="86" t="s">
        <v>679</v>
      </c>
      <c r="O219" s="64">
        <f>1+2+2</f>
        <v>5</v>
      </c>
      <c r="P219" s="67">
        <f t="shared" si="65"/>
        <v>0</v>
      </c>
      <c r="Q219" s="68" t="s">
        <v>680</v>
      </c>
      <c r="R219" s="68"/>
    </row>
    <row r="220" spans="1:18" ht="58" x14ac:dyDescent="0.35">
      <c r="A220" s="70">
        <v>44587</v>
      </c>
      <c r="B220" s="51">
        <f t="shared" si="87"/>
        <v>1</v>
      </c>
      <c r="C220" s="11">
        <f t="shared" si="88"/>
        <v>2022</v>
      </c>
      <c r="D220" s="97" t="s">
        <v>654</v>
      </c>
      <c r="E220" s="65" t="s">
        <v>347</v>
      </c>
      <c r="F220" s="80" t="s">
        <v>489</v>
      </c>
      <c r="G220" s="80" t="s">
        <v>489</v>
      </c>
      <c r="H220" s="83" t="s">
        <v>51</v>
      </c>
      <c r="I220" s="65">
        <v>9</v>
      </c>
      <c r="J220" s="69" t="s">
        <v>0</v>
      </c>
      <c r="K220" s="77">
        <v>1936</v>
      </c>
      <c r="L220" s="66">
        <f t="shared" si="89"/>
        <v>17424</v>
      </c>
      <c r="M220" s="5">
        <f t="shared" si="90"/>
        <v>881434.20000000007</v>
      </c>
      <c r="N220" s="86" t="s">
        <v>713</v>
      </c>
      <c r="O220" s="64">
        <f>4+2+2+1</f>
        <v>9</v>
      </c>
      <c r="P220" s="67">
        <f t="shared" si="65"/>
        <v>0</v>
      </c>
      <c r="Q220" s="68" t="s">
        <v>712</v>
      </c>
      <c r="R220" s="68"/>
    </row>
    <row r="221" spans="1:18" ht="29" x14ac:dyDescent="0.35">
      <c r="A221" s="70">
        <v>44587</v>
      </c>
      <c r="B221" s="51">
        <f t="shared" ref="B221:B225" si="93">MONTH(A221)</f>
        <v>1</v>
      </c>
      <c r="C221" s="11">
        <f t="shared" ref="C221:C225" si="94">YEAR(A221)</f>
        <v>2022</v>
      </c>
      <c r="D221" s="97" t="s">
        <v>654</v>
      </c>
      <c r="E221" s="65" t="s">
        <v>347</v>
      </c>
      <c r="F221" s="80" t="s">
        <v>653</v>
      </c>
      <c r="G221" s="80" t="s">
        <v>653</v>
      </c>
      <c r="H221" s="83" t="s">
        <v>51</v>
      </c>
      <c r="I221" s="65">
        <v>1</v>
      </c>
      <c r="J221" s="69" t="s">
        <v>0</v>
      </c>
      <c r="K221" s="77">
        <v>1936</v>
      </c>
      <c r="L221" s="66">
        <f t="shared" si="89"/>
        <v>1936</v>
      </c>
      <c r="M221" s="5">
        <f t="shared" si="90"/>
        <v>883370.20000000007</v>
      </c>
      <c r="N221" s="78" t="s">
        <v>666</v>
      </c>
      <c r="O221" s="64">
        <v>1</v>
      </c>
      <c r="P221" s="67">
        <f t="shared" si="65"/>
        <v>0</v>
      </c>
      <c r="Q221" s="68" t="s">
        <v>667</v>
      </c>
      <c r="R221" s="68"/>
    </row>
    <row r="222" spans="1:18" ht="43.5" x14ac:dyDescent="0.35">
      <c r="A222" s="70">
        <v>44587</v>
      </c>
      <c r="B222" s="51">
        <f t="shared" si="93"/>
        <v>1</v>
      </c>
      <c r="C222" s="11">
        <f t="shared" si="94"/>
        <v>2022</v>
      </c>
      <c r="D222" s="97" t="s">
        <v>654</v>
      </c>
      <c r="E222" s="65" t="s">
        <v>347</v>
      </c>
      <c r="F222" s="80" t="s">
        <v>624</v>
      </c>
      <c r="G222" s="80" t="s">
        <v>624</v>
      </c>
      <c r="H222" s="83" t="s">
        <v>51</v>
      </c>
      <c r="I222" s="65">
        <v>20</v>
      </c>
      <c r="J222" s="69" t="s">
        <v>1</v>
      </c>
      <c r="K222" s="77">
        <v>270</v>
      </c>
      <c r="L222" s="66">
        <f t="shared" si="89"/>
        <v>5400</v>
      </c>
      <c r="M222" s="5">
        <f t="shared" si="90"/>
        <v>888770.20000000007</v>
      </c>
      <c r="N222" s="86" t="s">
        <v>739</v>
      </c>
      <c r="O222" s="64">
        <f>1+8+10+1</f>
        <v>20</v>
      </c>
      <c r="P222" s="67">
        <f t="shared" si="65"/>
        <v>0</v>
      </c>
      <c r="Q222" s="68" t="s">
        <v>738</v>
      </c>
      <c r="R222" s="68"/>
    </row>
    <row r="223" spans="1:18" ht="87" x14ac:dyDescent="0.35">
      <c r="A223" s="70">
        <v>44587</v>
      </c>
      <c r="B223" s="51">
        <f t="shared" si="93"/>
        <v>1</v>
      </c>
      <c r="C223" s="11">
        <f t="shared" si="94"/>
        <v>2022</v>
      </c>
      <c r="D223" s="97" t="s">
        <v>654</v>
      </c>
      <c r="E223" s="65" t="s">
        <v>347</v>
      </c>
      <c r="F223" s="80" t="s">
        <v>655</v>
      </c>
      <c r="G223" s="80" t="s">
        <v>655</v>
      </c>
      <c r="H223" s="83" t="s">
        <v>51</v>
      </c>
      <c r="I223" s="65">
        <v>10</v>
      </c>
      <c r="J223" s="69" t="s">
        <v>1</v>
      </c>
      <c r="K223" s="77">
        <v>486</v>
      </c>
      <c r="L223" s="66">
        <f t="shared" si="89"/>
        <v>4860</v>
      </c>
      <c r="M223" s="5">
        <f t="shared" si="90"/>
        <v>893630.20000000007</v>
      </c>
      <c r="N223" s="86" t="s">
        <v>835</v>
      </c>
      <c r="O223" s="64">
        <f>1+2+1+3+2+1</f>
        <v>10</v>
      </c>
      <c r="P223" s="67">
        <f t="shared" si="65"/>
        <v>0</v>
      </c>
      <c r="Q223" s="68" t="s">
        <v>836</v>
      </c>
      <c r="R223" s="68"/>
    </row>
    <row r="224" spans="1:18" ht="29" x14ac:dyDescent="0.35">
      <c r="A224" s="70">
        <v>44587</v>
      </c>
      <c r="B224" s="51">
        <f t="shared" si="93"/>
        <v>1</v>
      </c>
      <c r="C224" s="11">
        <f t="shared" si="94"/>
        <v>2022</v>
      </c>
      <c r="D224" s="97" t="s">
        <v>654</v>
      </c>
      <c r="E224" s="65" t="s">
        <v>347</v>
      </c>
      <c r="F224" s="80" t="s">
        <v>625</v>
      </c>
      <c r="G224" s="80" t="s">
        <v>625</v>
      </c>
      <c r="H224" s="83" t="s">
        <v>51</v>
      </c>
      <c r="I224" s="65">
        <v>5</v>
      </c>
      <c r="J224" s="69" t="s">
        <v>1</v>
      </c>
      <c r="K224" s="77">
        <v>270</v>
      </c>
      <c r="L224" s="66">
        <f t="shared" si="89"/>
        <v>1350</v>
      </c>
      <c r="M224" s="5">
        <f t="shared" si="90"/>
        <v>894980.20000000007</v>
      </c>
      <c r="N224" s="86" t="s">
        <v>677</v>
      </c>
      <c r="O224" s="64">
        <f>4+1</f>
        <v>5</v>
      </c>
      <c r="P224" s="67">
        <f t="shared" si="65"/>
        <v>0</v>
      </c>
      <c r="Q224" s="68" t="s">
        <v>678</v>
      </c>
      <c r="R224" s="68"/>
    </row>
    <row r="225" spans="1:18" ht="72.5" x14ac:dyDescent="0.35">
      <c r="A225" s="70">
        <v>44606</v>
      </c>
      <c r="B225" s="51">
        <f t="shared" si="93"/>
        <v>2</v>
      </c>
      <c r="C225" s="11">
        <f t="shared" si="94"/>
        <v>2022</v>
      </c>
      <c r="D225" s="97" t="s">
        <v>676</v>
      </c>
      <c r="E225" s="65" t="s">
        <v>347</v>
      </c>
      <c r="F225" s="80" t="s">
        <v>625</v>
      </c>
      <c r="G225" s="31" t="s">
        <v>625</v>
      </c>
      <c r="H225" s="83" t="s">
        <v>51</v>
      </c>
      <c r="I225" s="65">
        <v>10</v>
      </c>
      <c r="J225" s="69" t="s">
        <v>1</v>
      </c>
      <c r="K225" s="77">
        <v>270</v>
      </c>
      <c r="L225" s="66">
        <f t="shared" si="89"/>
        <v>2700</v>
      </c>
      <c r="M225" s="5">
        <f t="shared" si="90"/>
        <v>897680.20000000007</v>
      </c>
      <c r="N225" s="86" t="s">
        <v>1000</v>
      </c>
      <c r="O225" s="64">
        <f>3+1+2+2+1+1</f>
        <v>10</v>
      </c>
      <c r="P225" s="67">
        <f t="shared" si="65"/>
        <v>0</v>
      </c>
      <c r="Q225" s="68" t="s">
        <v>1001</v>
      </c>
      <c r="R225" s="68"/>
    </row>
    <row r="226" spans="1:18" ht="116" x14ac:dyDescent="0.35">
      <c r="A226" s="70">
        <v>44606</v>
      </c>
      <c r="B226" s="51">
        <f t="shared" ref="B226" si="95">MONTH(A226)</f>
        <v>2</v>
      </c>
      <c r="C226" s="11">
        <f t="shared" ref="C226" si="96">YEAR(A226)</f>
        <v>2022</v>
      </c>
      <c r="D226" s="97" t="s">
        <v>913</v>
      </c>
      <c r="E226" s="65" t="s">
        <v>10</v>
      </c>
      <c r="F226" s="39" t="s">
        <v>64</v>
      </c>
      <c r="G226" s="39" t="s">
        <v>64</v>
      </c>
      <c r="H226" s="2" t="s">
        <v>47</v>
      </c>
      <c r="I226" s="12">
        <v>15</v>
      </c>
      <c r="J226" s="2" t="s">
        <v>0</v>
      </c>
      <c r="K226" s="77">
        <v>1815</v>
      </c>
      <c r="L226" s="66">
        <f t="shared" si="89"/>
        <v>27225</v>
      </c>
      <c r="M226" s="5">
        <f t="shared" si="90"/>
        <v>924905.20000000007</v>
      </c>
      <c r="N226" s="86" t="s">
        <v>742</v>
      </c>
      <c r="O226" s="64">
        <f>1+2+2+1+2+1+3+3</f>
        <v>15</v>
      </c>
      <c r="P226" s="67">
        <f t="shared" si="65"/>
        <v>0</v>
      </c>
      <c r="Q226" s="68" t="s">
        <v>743</v>
      </c>
      <c r="R226" s="68"/>
    </row>
    <row r="227" spans="1:18" ht="58" x14ac:dyDescent="0.35">
      <c r="A227" s="70">
        <v>44610</v>
      </c>
      <c r="B227" s="51">
        <f t="shared" ref="B227:B230" si="97">MONTH(A227)</f>
        <v>2</v>
      </c>
      <c r="C227" s="11">
        <f t="shared" ref="C227:C230" si="98">YEAR(A227)</f>
        <v>2022</v>
      </c>
      <c r="D227" s="97" t="s">
        <v>912</v>
      </c>
      <c r="E227" s="65" t="s">
        <v>10</v>
      </c>
      <c r="F227" s="80" t="s">
        <v>29</v>
      </c>
      <c r="G227" s="80" t="s">
        <v>29</v>
      </c>
      <c r="H227" s="83" t="s">
        <v>47</v>
      </c>
      <c r="I227" s="65">
        <v>15</v>
      </c>
      <c r="J227" s="69" t="s">
        <v>0</v>
      </c>
      <c r="K227" s="77">
        <v>1815</v>
      </c>
      <c r="L227" s="66">
        <f t="shared" si="89"/>
        <v>27225</v>
      </c>
      <c r="M227" s="5">
        <f t="shared" si="90"/>
        <v>952130.20000000007</v>
      </c>
      <c r="N227" s="86" t="s">
        <v>732</v>
      </c>
      <c r="O227" s="64">
        <f>6+2+1+6</f>
        <v>15</v>
      </c>
      <c r="P227" s="67">
        <f t="shared" si="65"/>
        <v>0</v>
      </c>
      <c r="Q227" s="68" t="s">
        <v>735</v>
      </c>
      <c r="R227" s="68"/>
    </row>
    <row r="228" spans="1:18" ht="29" x14ac:dyDescent="0.35">
      <c r="A228" s="70">
        <v>44610</v>
      </c>
      <c r="B228" s="51">
        <f t="shared" si="97"/>
        <v>2</v>
      </c>
      <c r="C228" s="11">
        <f t="shared" si="98"/>
        <v>2022</v>
      </c>
      <c r="D228" s="97" t="s">
        <v>716</v>
      </c>
      <c r="E228" s="65" t="s">
        <v>686</v>
      </c>
      <c r="F228" s="80" t="s">
        <v>687</v>
      </c>
      <c r="G228" s="80" t="s">
        <v>687</v>
      </c>
      <c r="H228" s="83" t="s">
        <v>51</v>
      </c>
      <c r="I228" s="65">
        <v>1</v>
      </c>
      <c r="J228" s="69" t="s">
        <v>0</v>
      </c>
      <c r="K228" s="77">
        <v>1804</v>
      </c>
      <c r="L228" s="66">
        <f t="shared" si="89"/>
        <v>1804</v>
      </c>
      <c r="M228" s="5">
        <f t="shared" si="90"/>
        <v>953934.20000000007</v>
      </c>
      <c r="N228" s="78" t="s">
        <v>688</v>
      </c>
      <c r="O228" s="64">
        <v>1</v>
      </c>
      <c r="P228" s="67">
        <f t="shared" si="65"/>
        <v>0</v>
      </c>
      <c r="Q228" s="68" t="s">
        <v>689</v>
      </c>
      <c r="R228" s="68"/>
    </row>
    <row r="229" spans="1:18" ht="29" x14ac:dyDescent="0.35">
      <c r="A229" s="70">
        <v>44613</v>
      </c>
      <c r="B229" s="51">
        <f t="shared" si="97"/>
        <v>2</v>
      </c>
      <c r="C229" s="11">
        <f t="shared" si="98"/>
        <v>2022</v>
      </c>
      <c r="D229" s="97" t="s">
        <v>914</v>
      </c>
      <c r="E229" s="65" t="s">
        <v>10</v>
      </c>
      <c r="F229" s="80" t="s">
        <v>254</v>
      </c>
      <c r="G229" s="80" t="s">
        <v>254</v>
      </c>
      <c r="H229" s="83" t="s">
        <v>47</v>
      </c>
      <c r="I229" s="65">
        <v>1</v>
      </c>
      <c r="J229" s="69" t="s">
        <v>125</v>
      </c>
      <c r="K229" s="77">
        <v>110</v>
      </c>
      <c r="L229" s="66">
        <f t="shared" si="89"/>
        <v>110</v>
      </c>
      <c r="M229" s="5">
        <f t="shared" si="90"/>
        <v>954044.20000000007</v>
      </c>
      <c r="N229" s="78" t="s">
        <v>704</v>
      </c>
      <c r="O229" s="64">
        <v>1</v>
      </c>
      <c r="P229" s="67">
        <f t="shared" si="65"/>
        <v>0</v>
      </c>
      <c r="Q229" s="68" t="s">
        <v>705</v>
      </c>
      <c r="R229" s="68"/>
    </row>
    <row r="230" spans="1:18" ht="43.5" x14ac:dyDescent="0.35">
      <c r="A230" s="70">
        <v>44616</v>
      </c>
      <c r="B230" s="51">
        <f t="shared" si="97"/>
        <v>2</v>
      </c>
      <c r="C230" s="11">
        <f t="shared" si="98"/>
        <v>2022</v>
      </c>
      <c r="D230" s="97" t="s">
        <v>914</v>
      </c>
      <c r="E230" s="65" t="s">
        <v>10</v>
      </c>
      <c r="F230" s="80" t="s">
        <v>19</v>
      </c>
      <c r="G230" s="80" t="s">
        <v>19</v>
      </c>
      <c r="H230" s="83" t="s">
        <v>47</v>
      </c>
      <c r="I230" s="65">
        <v>12</v>
      </c>
      <c r="J230" s="69" t="s">
        <v>25</v>
      </c>
      <c r="K230" s="77">
        <v>90</v>
      </c>
      <c r="L230" s="66">
        <f t="shared" si="89"/>
        <v>1080</v>
      </c>
      <c r="M230" s="5">
        <f t="shared" si="90"/>
        <v>955124.20000000007</v>
      </c>
      <c r="N230" s="86" t="s">
        <v>825</v>
      </c>
      <c r="O230" s="64">
        <f>2+2+6+2</f>
        <v>12</v>
      </c>
      <c r="P230" s="67">
        <f t="shared" si="65"/>
        <v>0</v>
      </c>
      <c r="Q230" s="68" t="s">
        <v>826</v>
      </c>
      <c r="R230" s="68"/>
    </row>
    <row r="231" spans="1:18" ht="29" x14ac:dyDescent="0.35">
      <c r="A231" s="70">
        <v>44616</v>
      </c>
      <c r="B231" s="51">
        <f t="shared" ref="B231" si="99">MONTH(A231)</f>
        <v>2</v>
      </c>
      <c r="C231" s="11">
        <f t="shared" ref="C231" si="100">YEAR(A231)</f>
        <v>2022</v>
      </c>
      <c r="D231" s="97" t="s">
        <v>914</v>
      </c>
      <c r="E231" s="65" t="s">
        <v>10</v>
      </c>
      <c r="F231" s="80" t="s">
        <v>233</v>
      </c>
      <c r="G231" s="80" t="s">
        <v>233</v>
      </c>
      <c r="H231" s="83" t="s">
        <v>47</v>
      </c>
      <c r="I231" s="65">
        <v>2</v>
      </c>
      <c r="J231" s="69" t="s">
        <v>217</v>
      </c>
      <c r="K231" s="77">
        <v>390</v>
      </c>
      <c r="L231" s="66">
        <f t="shared" si="89"/>
        <v>780</v>
      </c>
      <c r="M231" s="5">
        <f t="shared" si="90"/>
        <v>955904.20000000007</v>
      </c>
      <c r="N231" s="78" t="s">
        <v>733</v>
      </c>
      <c r="O231" s="64">
        <v>2</v>
      </c>
      <c r="P231" s="67">
        <f t="shared" si="65"/>
        <v>0</v>
      </c>
      <c r="Q231" s="68" t="s">
        <v>734</v>
      </c>
      <c r="R231" s="68"/>
    </row>
    <row r="232" spans="1:18" ht="29" x14ac:dyDescent="0.35">
      <c r="A232" s="70">
        <v>44627</v>
      </c>
      <c r="B232" s="51">
        <f t="shared" ref="B232:B236" si="101">MONTH(A232)</f>
        <v>3</v>
      </c>
      <c r="C232" s="11">
        <f t="shared" ref="C232:C236" si="102">YEAR(A232)</f>
        <v>2022</v>
      </c>
      <c r="D232" s="97" t="s">
        <v>717</v>
      </c>
      <c r="E232" s="65" t="s">
        <v>686</v>
      </c>
      <c r="F232" s="80" t="s">
        <v>687</v>
      </c>
      <c r="G232" s="80" t="s">
        <v>687</v>
      </c>
      <c r="H232" s="83" t="s">
        <v>51</v>
      </c>
      <c r="I232" s="65">
        <v>1</v>
      </c>
      <c r="J232" s="69" t="s">
        <v>0</v>
      </c>
      <c r="K232" s="77">
        <v>1859</v>
      </c>
      <c r="L232" s="66">
        <f t="shared" si="89"/>
        <v>1859</v>
      </c>
      <c r="M232" s="5">
        <f t="shared" si="90"/>
        <v>957763.20000000007</v>
      </c>
      <c r="N232" s="78" t="s">
        <v>721</v>
      </c>
      <c r="O232" s="64">
        <v>1</v>
      </c>
      <c r="P232" s="67">
        <f t="shared" si="65"/>
        <v>0</v>
      </c>
      <c r="Q232" s="68" t="s">
        <v>722</v>
      </c>
      <c r="R232" s="68"/>
    </row>
    <row r="233" spans="1:18" ht="29" x14ac:dyDescent="0.35">
      <c r="A233" s="70">
        <v>44627</v>
      </c>
      <c r="B233" s="51">
        <f t="shared" si="101"/>
        <v>3</v>
      </c>
      <c r="C233" s="11">
        <f t="shared" si="102"/>
        <v>2022</v>
      </c>
      <c r="D233" s="97" t="s">
        <v>717</v>
      </c>
      <c r="E233" s="65" t="s">
        <v>686</v>
      </c>
      <c r="F233" s="80" t="s">
        <v>719</v>
      </c>
      <c r="G233" s="80" t="s">
        <v>719</v>
      </c>
      <c r="H233" s="83" t="s">
        <v>51</v>
      </c>
      <c r="I233" s="65">
        <v>1</v>
      </c>
      <c r="J233" s="69" t="s">
        <v>18</v>
      </c>
      <c r="K233" s="77">
        <v>160</v>
      </c>
      <c r="L233" s="66">
        <f t="shared" si="89"/>
        <v>160</v>
      </c>
      <c r="M233" s="5">
        <f t="shared" si="90"/>
        <v>957923.20000000007</v>
      </c>
      <c r="N233" s="78" t="s">
        <v>721</v>
      </c>
      <c r="O233" s="64">
        <v>1</v>
      </c>
      <c r="P233" s="67">
        <f t="shared" si="65"/>
        <v>0</v>
      </c>
      <c r="Q233" s="68" t="s">
        <v>722</v>
      </c>
      <c r="R233" s="68"/>
    </row>
    <row r="234" spans="1:18" ht="29" x14ac:dyDescent="0.35">
      <c r="A234" s="70">
        <v>44627</v>
      </c>
      <c r="B234" s="51">
        <f t="shared" si="101"/>
        <v>3</v>
      </c>
      <c r="C234" s="11">
        <f t="shared" si="102"/>
        <v>2022</v>
      </c>
      <c r="D234" s="97" t="s">
        <v>717</v>
      </c>
      <c r="E234" s="65" t="s">
        <v>686</v>
      </c>
      <c r="F234" s="80" t="s">
        <v>720</v>
      </c>
      <c r="G234" s="80" t="s">
        <v>720</v>
      </c>
      <c r="H234" s="83" t="s">
        <v>51</v>
      </c>
      <c r="I234" s="65">
        <v>1</v>
      </c>
      <c r="J234" s="69" t="s">
        <v>18</v>
      </c>
      <c r="K234" s="77">
        <v>310</v>
      </c>
      <c r="L234" s="66">
        <f t="shared" si="89"/>
        <v>310</v>
      </c>
      <c r="M234" s="5">
        <f t="shared" si="90"/>
        <v>958233.20000000007</v>
      </c>
      <c r="N234" s="78" t="s">
        <v>721</v>
      </c>
      <c r="O234" s="64">
        <v>1</v>
      </c>
      <c r="P234" s="67">
        <f t="shared" si="65"/>
        <v>0</v>
      </c>
      <c r="Q234" s="68" t="s">
        <v>722</v>
      </c>
      <c r="R234" s="68"/>
    </row>
    <row r="235" spans="1:18" ht="29" x14ac:dyDescent="0.35">
      <c r="A235" s="70">
        <v>44627</v>
      </c>
      <c r="B235" s="51">
        <f t="shared" si="101"/>
        <v>3</v>
      </c>
      <c r="C235" s="11">
        <f t="shared" si="102"/>
        <v>2022</v>
      </c>
      <c r="D235" s="97" t="s">
        <v>717</v>
      </c>
      <c r="E235" s="65" t="s">
        <v>686</v>
      </c>
      <c r="F235" s="80" t="s">
        <v>718</v>
      </c>
      <c r="G235" s="80" t="s">
        <v>718</v>
      </c>
      <c r="H235" s="83" t="s">
        <v>51</v>
      </c>
      <c r="I235" s="65">
        <v>2</v>
      </c>
      <c r="J235" s="69" t="s">
        <v>125</v>
      </c>
      <c r="K235" s="77">
        <v>185</v>
      </c>
      <c r="L235" s="66">
        <f t="shared" si="89"/>
        <v>370</v>
      </c>
      <c r="M235" s="5">
        <f t="shared" si="90"/>
        <v>958603.20000000007</v>
      </c>
      <c r="N235" s="78" t="s">
        <v>721</v>
      </c>
      <c r="O235" s="64">
        <v>2</v>
      </c>
      <c r="P235" s="67">
        <f t="shared" si="65"/>
        <v>0</v>
      </c>
      <c r="Q235" s="68" t="s">
        <v>723</v>
      </c>
      <c r="R235" s="68"/>
    </row>
    <row r="236" spans="1:18" ht="43.5" x14ac:dyDescent="0.35">
      <c r="A236" s="70">
        <v>44630</v>
      </c>
      <c r="B236" s="51">
        <f t="shared" si="101"/>
        <v>3</v>
      </c>
      <c r="C236" s="11">
        <f t="shared" si="102"/>
        <v>2022</v>
      </c>
      <c r="D236" s="97" t="s">
        <v>724</v>
      </c>
      <c r="E236" s="65" t="s">
        <v>307</v>
      </c>
      <c r="F236" s="80" t="s">
        <v>643</v>
      </c>
      <c r="G236" s="31" t="s">
        <v>643</v>
      </c>
      <c r="H236" s="83" t="s">
        <v>51</v>
      </c>
      <c r="I236" s="65">
        <v>4</v>
      </c>
      <c r="J236" s="69" t="s">
        <v>125</v>
      </c>
      <c r="K236" s="77">
        <v>305</v>
      </c>
      <c r="L236" s="66">
        <f t="shared" ref="L236:L263" si="103">SUM(I236*K236)</f>
        <v>1220</v>
      </c>
      <c r="M236" s="5">
        <f t="shared" ref="M236:M286" si="104">SUM(M235+L236)</f>
        <v>959823.20000000007</v>
      </c>
      <c r="N236" s="86" t="s">
        <v>779</v>
      </c>
      <c r="O236" s="64">
        <f>1+1+2</f>
        <v>4</v>
      </c>
      <c r="P236" s="67">
        <f t="shared" si="65"/>
        <v>0</v>
      </c>
      <c r="Q236" s="68" t="s">
        <v>780</v>
      </c>
      <c r="R236" s="68"/>
    </row>
    <row r="237" spans="1:18" ht="58" x14ac:dyDescent="0.35">
      <c r="A237" s="70">
        <v>44630</v>
      </c>
      <c r="B237" s="51">
        <f t="shared" ref="B237:B242" si="105">MONTH(A237)</f>
        <v>3</v>
      </c>
      <c r="C237" s="11">
        <f t="shared" ref="C237:C242" si="106">YEAR(A237)</f>
        <v>2022</v>
      </c>
      <c r="D237" s="97" t="s">
        <v>727</v>
      </c>
      <c r="E237" s="65" t="s">
        <v>686</v>
      </c>
      <c r="F237" s="80" t="s">
        <v>729</v>
      </c>
      <c r="G237" s="80" t="s">
        <v>729</v>
      </c>
      <c r="H237" s="83" t="s">
        <v>47</v>
      </c>
      <c r="I237" s="65">
        <v>20</v>
      </c>
      <c r="J237" s="69" t="s">
        <v>1</v>
      </c>
      <c r="K237" s="77">
        <v>273</v>
      </c>
      <c r="L237" s="66">
        <f t="shared" si="103"/>
        <v>5460</v>
      </c>
      <c r="M237" s="5">
        <f t="shared" si="104"/>
        <v>965283.20000000007</v>
      </c>
      <c r="N237" s="86" t="s">
        <v>761</v>
      </c>
      <c r="O237" s="64">
        <f>4+7+6+3</f>
        <v>20</v>
      </c>
      <c r="P237" s="67">
        <f t="shared" si="65"/>
        <v>0</v>
      </c>
      <c r="Q237" s="68" t="s">
        <v>762</v>
      </c>
      <c r="R237" s="68"/>
    </row>
    <row r="238" spans="1:18" ht="29" x14ac:dyDescent="0.35">
      <c r="A238" s="70">
        <v>44630</v>
      </c>
      <c r="B238" s="51">
        <f t="shared" si="105"/>
        <v>3</v>
      </c>
      <c r="C238" s="11">
        <f t="shared" si="106"/>
        <v>2022</v>
      </c>
      <c r="D238" s="97" t="s">
        <v>727</v>
      </c>
      <c r="E238" s="65" t="s">
        <v>686</v>
      </c>
      <c r="F238" s="80" t="s">
        <v>728</v>
      </c>
      <c r="G238" s="80" t="s">
        <v>728</v>
      </c>
      <c r="H238" s="83" t="s">
        <v>47</v>
      </c>
      <c r="I238" s="65">
        <v>10</v>
      </c>
      <c r="J238" s="69" t="s">
        <v>1</v>
      </c>
      <c r="K238" s="77">
        <v>546</v>
      </c>
      <c r="L238" s="66">
        <f t="shared" si="103"/>
        <v>5460</v>
      </c>
      <c r="M238" s="5">
        <f t="shared" si="104"/>
        <v>970743.20000000007</v>
      </c>
      <c r="N238" s="86" t="s">
        <v>783</v>
      </c>
      <c r="O238" s="64">
        <f>6+3+1</f>
        <v>10</v>
      </c>
      <c r="P238" s="67">
        <f t="shared" si="65"/>
        <v>0</v>
      </c>
      <c r="Q238" s="68" t="s">
        <v>784</v>
      </c>
      <c r="R238" s="68"/>
    </row>
    <row r="239" spans="1:18" ht="87" x14ac:dyDescent="0.35">
      <c r="A239" s="70">
        <v>44632</v>
      </c>
      <c r="B239" s="51">
        <f t="shared" si="105"/>
        <v>3</v>
      </c>
      <c r="C239" s="11">
        <f t="shared" si="106"/>
        <v>2022</v>
      </c>
      <c r="D239" s="97" t="s">
        <v>725</v>
      </c>
      <c r="E239" s="65" t="s">
        <v>429</v>
      </c>
      <c r="F239" s="80" t="s">
        <v>763</v>
      </c>
      <c r="G239" s="31" t="s">
        <v>763</v>
      </c>
      <c r="H239" s="83" t="s">
        <v>51</v>
      </c>
      <c r="I239" s="65">
        <v>24</v>
      </c>
      <c r="J239" s="69" t="s">
        <v>25</v>
      </c>
      <c r="K239" s="77">
        <v>55</v>
      </c>
      <c r="L239" s="66">
        <f t="shared" si="103"/>
        <v>1320</v>
      </c>
      <c r="M239" s="5">
        <f t="shared" si="104"/>
        <v>972063.20000000007</v>
      </c>
      <c r="N239" s="86" t="s">
        <v>807</v>
      </c>
      <c r="O239" s="64">
        <f>4+2+4+1+2+1+4+6</f>
        <v>24</v>
      </c>
      <c r="P239" s="67">
        <f t="shared" ref="P239:P304" si="107">I239-O239</f>
        <v>0</v>
      </c>
      <c r="Q239" s="73" t="s">
        <v>808</v>
      </c>
      <c r="R239" s="68"/>
    </row>
    <row r="240" spans="1:18" ht="72.5" x14ac:dyDescent="0.35">
      <c r="A240" s="70">
        <v>44637</v>
      </c>
      <c r="B240" s="51">
        <f t="shared" si="105"/>
        <v>3</v>
      </c>
      <c r="C240" s="11">
        <f t="shared" si="106"/>
        <v>2022</v>
      </c>
      <c r="D240" s="97" t="s">
        <v>915</v>
      </c>
      <c r="E240" s="65" t="s">
        <v>10</v>
      </c>
      <c r="F240" s="80" t="s">
        <v>64</v>
      </c>
      <c r="G240" s="31" t="s">
        <v>64</v>
      </c>
      <c r="H240" s="83" t="s">
        <v>47</v>
      </c>
      <c r="I240" s="65">
        <v>10</v>
      </c>
      <c r="J240" s="69" t="s">
        <v>0</v>
      </c>
      <c r="K240" s="77">
        <v>1870</v>
      </c>
      <c r="L240" s="66">
        <f t="shared" si="103"/>
        <v>18700</v>
      </c>
      <c r="M240" s="5">
        <f t="shared" si="104"/>
        <v>990763.20000000007</v>
      </c>
      <c r="N240" s="86" t="s">
        <v>781</v>
      </c>
      <c r="O240" s="64">
        <f>2+3+1+2+1+1</f>
        <v>10</v>
      </c>
      <c r="P240" s="67">
        <f t="shared" si="107"/>
        <v>0</v>
      </c>
      <c r="Q240" s="68" t="s">
        <v>782</v>
      </c>
      <c r="R240" s="68"/>
    </row>
    <row r="241" spans="1:18" ht="58" x14ac:dyDescent="0.35">
      <c r="A241" s="70">
        <v>44637</v>
      </c>
      <c r="B241" s="51">
        <f t="shared" ref="B241" si="108">MONTH(A241)</f>
        <v>3</v>
      </c>
      <c r="C241" s="11">
        <f t="shared" ref="C241" si="109">YEAR(A241)</f>
        <v>2022</v>
      </c>
      <c r="D241" s="97" t="s">
        <v>915</v>
      </c>
      <c r="E241" s="65" t="s">
        <v>10</v>
      </c>
      <c r="F241" s="80" t="s">
        <v>29</v>
      </c>
      <c r="G241" s="31" t="s">
        <v>29</v>
      </c>
      <c r="H241" s="83" t="s">
        <v>47</v>
      </c>
      <c r="I241" s="65">
        <v>10</v>
      </c>
      <c r="J241" s="69" t="s">
        <v>0</v>
      </c>
      <c r="K241" s="77">
        <v>1815</v>
      </c>
      <c r="L241" s="66">
        <f t="shared" si="103"/>
        <v>18150</v>
      </c>
      <c r="M241" s="5">
        <f t="shared" si="104"/>
        <v>1008913.2000000001</v>
      </c>
      <c r="N241" s="86" t="s">
        <v>776</v>
      </c>
      <c r="O241" s="64">
        <f>4+2+1+2+1</f>
        <v>10</v>
      </c>
      <c r="P241" s="67">
        <f t="shared" si="107"/>
        <v>0</v>
      </c>
      <c r="Q241" s="68" t="s">
        <v>771</v>
      </c>
      <c r="R241" s="68"/>
    </row>
    <row r="242" spans="1:18" ht="29" x14ac:dyDescent="0.35">
      <c r="A242" s="70">
        <v>44638</v>
      </c>
      <c r="B242" s="51">
        <f t="shared" si="105"/>
        <v>3</v>
      </c>
      <c r="C242" s="11">
        <f t="shared" si="106"/>
        <v>2022</v>
      </c>
      <c r="D242" s="97"/>
      <c r="E242" s="65" t="s">
        <v>686</v>
      </c>
      <c r="F242" s="80" t="s">
        <v>744</v>
      </c>
      <c r="G242" s="80" t="s">
        <v>744</v>
      </c>
      <c r="H242" s="83" t="s">
        <v>51</v>
      </c>
      <c r="I242" s="65">
        <v>5</v>
      </c>
      <c r="J242" s="69" t="s">
        <v>1</v>
      </c>
      <c r="K242" s="77">
        <v>258</v>
      </c>
      <c r="L242" s="66">
        <f t="shared" si="103"/>
        <v>1290</v>
      </c>
      <c r="M242" s="5">
        <f t="shared" si="104"/>
        <v>1010203.2000000001</v>
      </c>
      <c r="N242" s="78" t="s">
        <v>746</v>
      </c>
      <c r="O242" s="64">
        <v>5</v>
      </c>
      <c r="P242" s="67">
        <f t="shared" si="107"/>
        <v>0</v>
      </c>
      <c r="Q242" s="68" t="s">
        <v>747</v>
      </c>
      <c r="R242" s="68"/>
    </row>
    <row r="243" spans="1:18" x14ac:dyDescent="0.35">
      <c r="A243" s="70">
        <v>44638</v>
      </c>
      <c r="B243" s="51">
        <f t="shared" ref="B243:B244" si="110">MONTH(A243)</f>
        <v>3</v>
      </c>
      <c r="C243" s="11">
        <f t="shared" ref="C243:C244" si="111">YEAR(A243)</f>
        <v>2022</v>
      </c>
      <c r="E243" s="65" t="s">
        <v>686</v>
      </c>
      <c r="F243" s="80" t="s">
        <v>745</v>
      </c>
      <c r="G243" s="80" t="s">
        <v>745</v>
      </c>
      <c r="H243" s="83" t="s">
        <v>51</v>
      </c>
      <c r="I243" s="65">
        <v>1</v>
      </c>
      <c r="J243" s="69" t="s">
        <v>215</v>
      </c>
      <c r="K243" s="77">
        <v>250</v>
      </c>
      <c r="L243" s="66">
        <f t="shared" si="103"/>
        <v>250</v>
      </c>
      <c r="M243" s="5">
        <f t="shared" si="104"/>
        <v>1010453.2000000001</v>
      </c>
      <c r="N243" s="78" t="s">
        <v>749</v>
      </c>
      <c r="O243" s="64">
        <v>1</v>
      </c>
      <c r="P243" s="67">
        <f t="shared" si="107"/>
        <v>0</v>
      </c>
      <c r="Q243" s="68" t="s">
        <v>752</v>
      </c>
      <c r="R243" s="68"/>
    </row>
    <row r="244" spans="1:18" ht="29" x14ac:dyDescent="0.35">
      <c r="A244" s="70">
        <v>44638</v>
      </c>
      <c r="B244" s="51">
        <f t="shared" si="110"/>
        <v>3</v>
      </c>
      <c r="C244" s="11">
        <f t="shared" si="111"/>
        <v>2022</v>
      </c>
      <c r="D244" s="97"/>
      <c r="E244" s="65" t="s">
        <v>686</v>
      </c>
      <c r="F244" s="80" t="s">
        <v>720</v>
      </c>
      <c r="G244" s="80" t="s">
        <v>720</v>
      </c>
      <c r="H244" s="83" t="s">
        <v>51</v>
      </c>
      <c r="I244" s="65">
        <v>1</v>
      </c>
      <c r="J244" s="69" t="s">
        <v>18</v>
      </c>
      <c r="K244" s="77">
        <v>310</v>
      </c>
      <c r="L244" s="66">
        <f t="shared" si="103"/>
        <v>310</v>
      </c>
      <c r="M244" s="5">
        <f t="shared" si="104"/>
        <v>1010763.2000000001</v>
      </c>
      <c r="N244" s="78" t="s">
        <v>757</v>
      </c>
      <c r="O244" s="64">
        <v>1</v>
      </c>
      <c r="P244" s="67">
        <f t="shared" si="107"/>
        <v>0</v>
      </c>
      <c r="Q244" s="68" t="s">
        <v>753</v>
      </c>
      <c r="R244" s="68"/>
    </row>
    <row r="245" spans="1:18" x14ac:dyDescent="0.35">
      <c r="A245" s="70">
        <v>44638</v>
      </c>
      <c r="B245" s="51">
        <f t="shared" ref="B245:B246" si="112">MONTH(A245)</f>
        <v>3</v>
      </c>
      <c r="C245" s="11">
        <f t="shared" ref="C245:C246" si="113">YEAR(A245)</f>
        <v>2022</v>
      </c>
      <c r="D245" s="97"/>
      <c r="E245" s="65" t="s">
        <v>686</v>
      </c>
      <c r="F245" s="80" t="s">
        <v>748</v>
      </c>
      <c r="G245" s="80" t="s">
        <v>748</v>
      </c>
      <c r="H245" s="83" t="s">
        <v>51</v>
      </c>
      <c r="I245" s="65">
        <v>1</v>
      </c>
      <c r="J245" s="69" t="s">
        <v>0</v>
      </c>
      <c r="K245" s="77">
        <v>896.5</v>
      </c>
      <c r="L245" s="66">
        <f t="shared" si="103"/>
        <v>896.5</v>
      </c>
      <c r="M245" s="5">
        <f t="shared" si="104"/>
        <v>1011659.7000000001</v>
      </c>
      <c r="N245" s="78" t="s">
        <v>749</v>
      </c>
      <c r="O245" s="64">
        <v>1</v>
      </c>
      <c r="P245" s="67">
        <f t="shared" si="107"/>
        <v>0</v>
      </c>
      <c r="Q245" s="68" t="s">
        <v>752</v>
      </c>
      <c r="R245" s="68"/>
    </row>
    <row r="246" spans="1:18" ht="43.5" x14ac:dyDescent="0.35">
      <c r="A246" s="70">
        <v>44638</v>
      </c>
      <c r="B246" s="51">
        <f t="shared" si="112"/>
        <v>3</v>
      </c>
      <c r="C246" s="11">
        <f t="shared" si="113"/>
        <v>2022</v>
      </c>
      <c r="D246" s="97"/>
      <c r="E246" s="65" t="s">
        <v>686</v>
      </c>
      <c r="F246" s="80" t="s">
        <v>765</v>
      </c>
      <c r="G246" s="80" t="s">
        <v>765</v>
      </c>
      <c r="H246" s="83" t="s">
        <v>51</v>
      </c>
      <c r="I246" s="65">
        <v>1</v>
      </c>
      <c r="J246" s="69" t="s">
        <v>18</v>
      </c>
      <c r="K246" s="77">
        <v>650</v>
      </c>
      <c r="L246" s="66">
        <f t="shared" si="103"/>
        <v>650</v>
      </c>
      <c r="M246" s="5">
        <f t="shared" si="104"/>
        <v>1012309.7000000001</v>
      </c>
      <c r="N246" s="78" t="s">
        <v>759</v>
      </c>
      <c r="O246" s="64">
        <v>1</v>
      </c>
      <c r="P246" s="67">
        <f t="shared" si="107"/>
        <v>0</v>
      </c>
      <c r="Q246" s="68" t="s">
        <v>760</v>
      </c>
      <c r="R246" s="68"/>
    </row>
    <row r="247" spans="1:18" ht="130.5" x14ac:dyDescent="0.35">
      <c r="A247" s="79" t="s">
        <v>756</v>
      </c>
      <c r="B247" s="51">
        <f t="shared" ref="B247:B254" si="114">MONTH(A247)</f>
        <v>3</v>
      </c>
      <c r="C247" s="11">
        <f t="shared" ref="C247:C254" si="115">YEAR(A247)</f>
        <v>2022</v>
      </c>
      <c r="D247" s="97"/>
      <c r="E247" s="65" t="s">
        <v>10</v>
      </c>
      <c r="F247" s="80" t="s">
        <v>146</v>
      </c>
      <c r="G247" s="31" t="s">
        <v>180</v>
      </c>
      <c r="H247" s="83" t="s">
        <v>47</v>
      </c>
      <c r="I247" s="65">
        <v>20</v>
      </c>
      <c r="J247" s="69" t="s">
        <v>1</v>
      </c>
      <c r="K247" s="77">
        <v>475.2</v>
      </c>
      <c r="L247" s="66">
        <f t="shared" si="103"/>
        <v>9504</v>
      </c>
      <c r="M247" s="5">
        <f t="shared" si="104"/>
        <v>1021813.7000000001</v>
      </c>
      <c r="N247" s="86" t="s">
        <v>1111</v>
      </c>
      <c r="O247" s="64">
        <f>1+3+2+2+4+2+2+3+1</f>
        <v>20</v>
      </c>
      <c r="P247" s="67">
        <f t="shared" si="107"/>
        <v>0</v>
      </c>
      <c r="Q247" s="68" t="s">
        <v>1112</v>
      </c>
      <c r="R247" s="68"/>
    </row>
    <row r="248" spans="1:18" ht="145" x14ac:dyDescent="0.35">
      <c r="A248" s="79" t="s">
        <v>756</v>
      </c>
      <c r="B248" s="51">
        <f t="shared" si="114"/>
        <v>3</v>
      </c>
      <c r="C248" s="11">
        <f t="shared" si="115"/>
        <v>2022</v>
      </c>
      <c r="D248" s="97"/>
      <c r="E248" s="65" t="s">
        <v>10</v>
      </c>
      <c r="F248" s="80" t="s">
        <v>28</v>
      </c>
      <c r="G248" s="31" t="s">
        <v>28</v>
      </c>
      <c r="H248" s="83" t="s">
        <v>47</v>
      </c>
      <c r="I248" s="65">
        <v>40</v>
      </c>
      <c r="J248" s="69" t="s">
        <v>217</v>
      </c>
      <c r="K248" s="77">
        <v>32.5</v>
      </c>
      <c r="L248" s="66">
        <f t="shared" si="103"/>
        <v>1300</v>
      </c>
      <c r="M248" s="5">
        <f t="shared" si="104"/>
        <v>1023113.7000000001</v>
      </c>
      <c r="N248" s="86" t="s">
        <v>829</v>
      </c>
      <c r="O248" s="64">
        <f>7+3+3+3+4+3+1+3+3+5+1+2+2</f>
        <v>40</v>
      </c>
      <c r="P248" s="67">
        <f t="shared" si="107"/>
        <v>0</v>
      </c>
      <c r="Q248" s="68" t="s">
        <v>830</v>
      </c>
      <c r="R248" s="68"/>
    </row>
    <row r="249" spans="1:18" ht="58" x14ac:dyDescent="0.35">
      <c r="A249" s="70">
        <v>44643</v>
      </c>
      <c r="B249" s="51">
        <f t="shared" si="114"/>
        <v>3</v>
      </c>
      <c r="C249" s="11">
        <f t="shared" si="115"/>
        <v>2022</v>
      </c>
      <c r="D249" s="97"/>
      <c r="E249" s="65" t="s">
        <v>686</v>
      </c>
      <c r="F249" s="80" t="s">
        <v>729</v>
      </c>
      <c r="G249" s="31" t="s">
        <v>729</v>
      </c>
      <c r="H249" s="83" t="s">
        <v>47</v>
      </c>
      <c r="I249" s="65">
        <v>20</v>
      </c>
      <c r="J249" s="69" t="s">
        <v>1</v>
      </c>
      <c r="K249" s="77">
        <v>273</v>
      </c>
      <c r="L249" s="66">
        <f t="shared" si="103"/>
        <v>5460</v>
      </c>
      <c r="M249" s="5">
        <f t="shared" si="104"/>
        <v>1028573.7000000001</v>
      </c>
      <c r="N249" s="86" t="s">
        <v>778</v>
      </c>
      <c r="O249" s="64">
        <f>7+4+8+1</f>
        <v>20</v>
      </c>
      <c r="P249" s="67">
        <f t="shared" si="107"/>
        <v>0</v>
      </c>
      <c r="Q249" s="68" t="s">
        <v>777</v>
      </c>
      <c r="R249" s="68"/>
    </row>
    <row r="250" spans="1:18" ht="43.5" x14ac:dyDescent="0.35">
      <c r="A250" s="70">
        <v>44643</v>
      </c>
      <c r="B250" s="51">
        <f t="shared" si="114"/>
        <v>3</v>
      </c>
      <c r="C250" s="11">
        <f t="shared" si="115"/>
        <v>2022</v>
      </c>
      <c r="D250" s="97"/>
      <c r="E250" s="65" t="s">
        <v>686</v>
      </c>
      <c r="F250" s="80" t="s">
        <v>744</v>
      </c>
      <c r="G250" s="31" t="s">
        <v>744</v>
      </c>
      <c r="H250" s="83" t="s">
        <v>47</v>
      </c>
      <c r="I250" s="65">
        <v>10</v>
      </c>
      <c r="J250" s="69" t="s">
        <v>1</v>
      </c>
      <c r="K250" s="77">
        <v>258</v>
      </c>
      <c r="L250" s="66">
        <f t="shared" si="103"/>
        <v>2580</v>
      </c>
      <c r="M250" s="5">
        <f t="shared" si="104"/>
        <v>1031153.7000000001</v>
      </c>
      <c r="N250" s="86" t="s">
        <v>772</v>
      </c>
      <c r="O250" s="64">
        <f>6+3+1</f>
        <v>10</v>
      </c>
      <c r="P250" s="67">
        <f t="shared" si="107"/>
        <v>0</v>
      </c>
      <c r="Q250" s="68" t="s">
        <v>773</v>
      </c>
      <c r="R250" s="68"/>
    </row>
    <row r="251" spans="1:18" ht="29" x14ac:dyDescent="0.35">
      <c r="A251" s="70">
        <v>44643</v>
      </c>
      <c r="B251" s="51">
        <f t="shared" si="114"/>
        <v>3</v>
      </c>
      <c r="C251" s="11">
        <f t="shared" si="115"/>
        <v>2022</v>
      </c>
      <c r="D251" s="97"/>
      <c r="E251" s="65" t="s">
        <v>686</v>
      </c>
      <c r="F251" s="80" t="s">
        <v>729</v>
      </c>
      <c r="G251" s="31" t="s">
        <v>729</v>
      </c>
      <c r="H251" s="83" t="s">
        <v>51</v>
      </c>
      <c r="I251" s="65">
        <v>4</v>
      </c>
      <c r="J251" s="69" t="s">
        <v>1</v>
      </c>
      <c r="K251" s="77">
        <v>273</v>
      </c>
      <c r="L251" s="66">
        <f t="shared" si="103"/>
        <v>1092</v>
      </c>
      <c r="M251" s="5">
        <f t="shared" si="104"/>
        <v>1032245.7000000001</v>
      </c>
      <c r="N251" s="78" t="s">
        <v>754</v>
      </c>
      <c r="O251" s="64">
        <v>4</v>
      </c>
      <c r="P251" s="67">
        <f t="shared" si="107"/>
        <v>0</v>
      </c>
      <c r="Q251" s="68" t="s">
        <v>755</v>
      </c>
      <c r="R251" s="68"/>
    </row>
    <row r="252" spans="1:18" ht="29" x14ac:dyDescent="0.35">
      <c r="A252" s="70">
        <v>44643</v>
      </c>
      <c r="B252" s="51">
        <f t="shared" si="114"/>
        <v>3</v>
      </c>
      <c r="C252" s="11">
        <f t="shared" si="115"/>
        <v>2022</v>
      </c>
      <c r="D252" s="97"/>
      <c r="E252" s="65" t="s">
        <v>686</v>
      </c>
      <c r="F252" s="80" t="s">
        <v>744</v>
      </c>
      <c r="G252" s="31" t="s">
        <v>744</v>
      </c>
      <c r="H252" s="83" t="s">
        <v>51</v>
      </c>
      <c r="I252" s="65">
        <v>4</v>
      </c>
      <c r="J252" s="69" t="s">
        <v>1</v>
      </c>
      <c r="K252" s="77">
        <v>258</v>
      </c>
      <c r="L252" s="66">
        <f t="shared" si="103"/>
        <v>1032</v>
      </c>
      <c r="M252" s="5">
        <f t="shared" si="104"/>
        <v>1033277.7000000001</v>
      </c>
      <c r="N252" s="78" t="s">
        <v>754</v>
      </c>
      <c r="O252" s="64">
        <v>4</v>
      </c>
      <c r="P252" s="67">
        <f t="shared" si="107"/>
        <v>0</v>
      </c>
      <c r="Q252" s="68" t="s">
        <v>755</v>
      </c>
      <c r="R252" s="68"/>
    </row>
    <row r="253" spans="1:18" ht="29" x14ac:dyDescent="0.35">
      <c r="A253" s="70">
        <v>44650</v>
      </c>
      <c r="B253" s="51">
        <f t="shared" si="114"/>
        <v>3</v>
      </c>
      <c r="C253" s="11">
        <f t="shared" si="115"/>
        <v>2022</v>
      </c>
      <c r="D253" s="97"/>
      <c r="E253" s="65" t="s">
        <v>686</v>
      </c>
      <c r="F253" s="80" t="s">
        <v>718</v>
      </c>
      <c r="G253" s="80" t="s">
        <v>718</v>
      </c>
      <c r="H253" s="83" t="s">
        <v>51</v>
      </c>
      <c r="I253" s="65">
        <v>2</v>
      </c>
      <c r="J253" s="69" t="s">
        <v>125</v>
      </c>
      <c r="K253" s="77">
        <v>180</v>
      </c>
      <c r="L253" s="66">
        <f t="shared" si="103"/>
        <v>360</v>
      </c>
      <c r="M253" s="5">
        <f t="shared" si="104"/>
        <v>1033637.7000000001</v>
      </c>
      <c r="N253" s="78" t="s">
        <v>767</v>
      </c>
      <c r="O253" s="64">
        <v>2</v>
      </c>
      <c r="P253" s="67">
        <f t="shared" si="107"/>
        <v>0</v>
      </c>
      <c r="Q253" s="68" t="s">
        <v>774</v>
      </c>
      <c r="R253" s="68"/>
    </row>
    <row r="254" spans="1:18" ht="29" x14ac:dyDescent="0.35">
      <c r="A254" s="70">
        <v>44652</v>
      </c>
      <c r="B254" s="51">
        <f t="shared" si="114"/>
        <v>4</v>
      </c>
      <c r="C254" s="11">
        <f t="shared" si="115"/>
        <v>2022</v>
      </c>
      <c r="D254" s="97"/>
      <c r="E254" s="65" t="s">
        <v>686</v>
      </c>
      <c r="F254" s="80" t="s">
        <v>764</v>
      </c>
      <c r="G254" s="80" t="s">
        <v>764</v>
      </c>
      <c r="H254" s="83" t="s">
        <v>51</v>
      </c>
      <c r="I254" s="65">
        <v>1</v>
      </c>
      <c r="J254" s="69" t="s">
        <v>18</v>
      </c>
      <c r="K254" s="77">
        <v>321.25</v>
      </c>
      <c r="L254" s="66">
        <f t="shared" si="103"/>
        <v>321.25</v>
      </c>
      <c r="M254" s="5">
        <f t="shared" si="104"/>
        <v>1033958.9500000001</v>
      </c>
      <c r="N254" s="78" t="s">
        <v>767</v>
      </c>
      <c r="O254" s="64">
        <v>1</v>
      </c>
      <c r="P254" s="67">
        <f t="shared" si="107"/>
        <v>0</v>
      </c>
      <c r="Q254" s="68" t="s">
        <v>769</v>
      </c>
      <c r="R254" s="68"/>
    </row>
    <row r="255" spans="1:18" ht="43.5" x14ac:dyDescent="0.35">
      <c r="A255" s="70">
        <v>44652</v>
      </c>
      <c r="B255" s="51">
        <f t="shared" ref="B255:B266" si="116">MONTH(A255)</f>
        <v>4</v>
      </c>
      <c r="C255" s="11">
        <f t="shared" ref="C255:C266" si="117">YEAR(A255)</f>
        <v>2022</v>
      </c>
      <c r="D255" s="97"/>
      <c r="E255" s="65" t="s">
        <v>686</v>
      </c>
      <c r="F255" s="80" t="s">
        <v>765</v>
      </c>
      <c r="G255" s="80" t="s">
        <v>765</v>
      </c>
      <c r="H255" s="83" t="s">
        <v>51</v>
      </c>
      <c r="I255" s="65">
        <v>1</v>
      </c>
      <c r="J255" s="69" t="s">
        <v>18</v>
      </c>
      <c r="K255" s="77">
        <v>650</v>
      </c>
      <c r="L255" s="66">
        <f t="shared" si="103"/>
        <v>650</v>
      </c>
      <c r="M255" s="5">
        <f t="shared" si="104"/>
        <v>1034608.9500000001</v>
      </c>
      <c r="N255" s="78" t="s">
        <v>767</v>
      </c>
      <c r="O255" s="64">
        <v>1</v>
      </c>
      <c r="P255" s="67">
        <f t="shared" si="107"/>
        <v>0</v>
      </c>
      <c r="Q255" s="68" t="s">
        <v>766</v>
      </c>
      <c r="R255" s="68"/>
    </row>
    <row r="256" spans="1:18" ht="29" x14ac:dyDescent="0.35">
      <c r="A256" s="70">
        <v>44652</v>
      </c>
      <c r="B256" s="51">
        <f t="shared" si="116"/>
        <v>4</v>
      </c>
      <c r="C256" s="11">
        <f t="shared" si="117"/>
        <v>2022</v>
      </c>
      <c r="D256" s="97"/>
      <c r="E256" s="65" t="s">
        <v>686</v>
      </c>
      <c r="F256" s="80" t="s">
        <v>729</v>
      </c>
      <c r="G256" s="80" t="s">
        <v>729</v>
      </c>
      <c r="H256" s="83" t="s">
        <v>51</v>
      </c>
      <c r="I256" s="65">
        <v>3</v>
      </c>
      <c r="J256" s="69" t="s">
        <v>1</v>
      </c>
      <c r="K256" s="77">
        <v>273</v>
      </c>
      <c r="L256" s="66">
        <f t="shared" si="103"/>
        <v>819</v>
      </c>
      <c r="M256" s="5">
        <f t="shared" si="104"/>
        <v>1035427.9500000001</v>
      </c>
      <c r="N256" s="78" t="s">
        <v>767</v>
      </c>
      <c r="O256" s="64">
        <v>3</v>
      </c>
      <c r="P256" s="67">
        <f t="shared" si="107"/>
        <v>0</v>
      </c>
      <c r="Q256" s="68" t="s">
        <v>766</v>
      </c>
      <c r="R256" s="68"/>
    </row>
    <row r="257" spans="1:18" ht="29" x14ac:dyDescent="0.35">
      <c r="A257" s="70">
        <v>44652</v>
      </c>
      <c r="B257" s="51">
        <f t="shared" si="116"/>
        <v>4</v>
      </c>
      <c r="C257" s="11">
        <f t="shared" si="117"/>
        <v>2022</v>
      </c>
      <c r="D257" s="97"/>
      <c r="E257" s="65" t="s">
        <v>686</v>
      </c>
      <c r="F257" s="80" t="s">
        <v>744</v>
      </c>
      <c r="G257" s="31" t="s">
        <v>744</v>
      </c>
      <c r="H257" s="83" t="s">
        <v>51</v>
      </c>
      <c r="I257" s="65">
        <v>3</v>
      </c>
      <c r="J257" s="69" t="s">
        <v>1</v>
      </c>
      <c r="K257" s="77">
        <v>258</v>
      </c>
      <c r="L257" s="66">
        <f t="shared" si="103"/>
        <v>774</v>
      </c>
      <c r="M257" s="5">
        <f t="shared" si="104"/>
        <v>1036201.9500000001</v>
      </c>
      <c r="N257" s="78" t="s">
        <v>767</v>
      </c>
      <c r="O257" s="64">
        <v>3</v>
      </c>
      <c r="P257" s="67">
        <f t="shared" si="107"/>
        <v>0</v>
      </c>
      <c r="Q257" s="68" t="s">
        <v>770</v>
      </c>
      <c r="R257" s="68"/>
    </row>
    <row r="258" spans="1:18" ht="43.5" x14ac:dyDescent="0.35">
      <c r="A258" s="70">
        <v>44655</v>
      </c>
      <c r="B258" s="51">
        <f t="shared" si="116"/>
        <v>4</v>
      </c>
      <c r="C258" s="11">
        <f t="shared" si="117"/>
        <v>2022</v>
      </c>
      <c r="D258" s="97"/>
      <c r="E258" s="65" t="s">
        <v>10</v>
      </c>
      <c r="F258" s="80" t="s">
        <v>29</v>
      </c>
      <c r="G258" s="31" t="s">
        <v>29</v>
      </c>
      <c r="H258" s="83" t="s">
        <v>47</v>
      </c>
      <c r="I258" s="65">
        <v>10</v>
      </c>
      <c r="J258" s="69" t="s">
        <v>0</v>
      </c>
      <c r="K258" s="77">
        <v>1870</v>
      </c>
      <c r="L258" s="66">
        <f t="shared" si="103"/>
        <v>18700</v>
      </c>
      <c r="M258" s="5">
        <f t="shared" si="104"/>
        <v>1054901.9500000002</v>
      </c>
      <c r="N258" s="86" t="s">
        <v>794</v>
      </c>
      <c r="O258" s="64">
        <f>3+2+2+3</f>
        <v>10</v>
      </c>
      <c r="P258" s="67">
        <f t="shared" si="107"/>
        <v>0</v>
      </c>
      <c r="Q258" s="68" t="s">
        <v>795</v>
      </c>
      <c r="R258" s="68"/>
    </row>
    <row r="259" spans="1:18" ht="29" x14ac:dyDescent="0.35">
      <c r="A259" s="70">
        <v>44656</v>
      </c>
      <c r="B259" s="51">
        <f t="shared" si="116"/>
        <v>4</v>
      </c>
      <c r="C259" s="11">
        <f t="shared" si="117"/>
        <v>2022</v>
      </c>
      <c r="D259" s="97"/>
      <c r="E259" s="65" t="s">
        <v>686</v>
      </c>
      <c r="F259" s="80" t="s">
        <v>729</v>
      </c>
      <c r="G259" s="31" t="s">
        <v>729</v>
      </c>
      <c r="H259" s="83" t="s">
        <v>47</v>
      </c>
      <c r="I259" s="65">
        <v>10</v>
      </c>
      <c r="J259" s="69" t="s">
        <v>1</v>
      </c>
      <c r="K259" s="77">
        <v>273</v>
      </c>
      <c r="L259" s="66">
        <f t="shared" si="103"/>
        <v>2730</v>
      </c>
      <c r="M259" s="5">
        <f t="shared" si="104"/>
        <v>1057631.9500000002</v>
      </c>
      <c r="N259" s="86" t="s">
        <v>785</v>
      </c>
      <c r="O259" s="64">
        <f>5+4+1</f>
        <v>10</v>
      </c>
      <c r="P259" s="67">
        <f t="shared" si="107"/>
        <v>0</v>
      </c>
      <c r="Q259" s="68" t="s">
        <v>786</v>
      </c>
      <c r="R259" s="68"/>
    </row>
    <row r="260" spans="1:18" ht="43.5" x14ac:dyDescent="0.35">
      <c r="A260" s="70">
        <v>44656</v>
      </c>
      <c r="B260" s="51">
        <f t="shared" si="116"/>
        <v>4</v>
      </c>
      <c r="C260" s="11">
        <f t="shared" si="117"/>
        <v>2022</v>
      </c>
      <c r="D260" s="97"/>
      <c r="E260" s="65" t="s">
        <v>686</v>
      </c>
      <c r="F260" s="80" t="s">
        <v>744</v>
      </c>
      <c r="G260" s="31" t="s">
        <v>744</v>
      </c>
      <c r="H260" s="83" t="s">
        <v>47</v>
      </c>
      <c r="I260" s="65">
        <v>14</v>
      </c>
      <c r="J260" s="69" t="s">
        <v>1</v>
      </c>
      <c r="K260" s="77">
        <v>258</v>
      </c>
      <c r="L260" s="66">
        <f t="shared" si="103"/>
        <v>3612</v>
      </c>
      <c r="M260" s="5">
        <f t="shared" si="104"/>
        <v>1061243.9500000002</v>
      </c>
      <c r="N260" s="86" t="s">
        <v>804</v>
      </c>
      <c r="O260" s="64">
        <f>3+3+6+2</f>
        <v>14</v>
      </c>
      <c r="P260" s="67">
        <f t="shared" si="107"/>
        <v>0</v>
      </c>
      <c r="Q260" s="68" t="s">
        <v>805</v>
      </c>
      <c r="R260" s="68"/>
    </row>
    <row r="261" spans="1:18" ht="43.5" x14ac:dyDescent="0.35">
      <c r="A261" s="70">
        <v>44656</v>
      </c>
      <c r="B261" s="51">
        <f t="shared" si="116"/>
        <v>4</v>
      </c>
      <c r="C261" s="11">
        <f t="shared" si="117"/>
        <v>2022</v>
      </c>
      <c r="D261" s="97"/>
      <c r="E261" s="65" t="s">
        <v>686</v>
      </c>
      <c r="F261" s="80" t="s">
        <v>765</v>
      </c>
      <c r="G261" s="31" t="s">
        <v>765</v>
      </c>
      <c r="H261" s="83" t="s">
        <v>47</v>
      </c>
      <c r="I261" s="65">
        <v>3</v>
      </c>
      <c r="J261" s="69" t="s">
        <v>18</v>
      </c>
      <c r="K261" s="77">
        <v>650</v>
      </c>
      <c r="L261" s="66">
        <f t="shared" si="103"/>
        <v>1950</v>
      </c>
      <c r="M261" s="5">
        <f t="shared" si="104"/>
        <v>1063193.9500000002</v>
      </c>
      <c r="N261" s="86" t="s">
        <v>861</v>
      </c>
      <c r="O261" s="64">
        <f>1+1+1</f>
        <v>3</v>
      </c>
      <c r="P261" s="67">
        <f t="shared" si="107"/>
        <v>0</v>
      </c>
      <c r="Q261" s="68" t="s">
        <v>809</v>
      </c>
      <c r="R261" s="68"/>
    </row>
    <row r="262" spans="1:18" ht="87" x14ac:dyDescent="0.35">
      <c r="A262" s="70">
        <v>44659</v>
      </c>
      <c r="B262" s="51">
        <f t="shared" si="116"/>
        <v>4</v>
      </c>
      <c r="C262" s="11">
        <f t="shared" si="117"/>
        <v>2022</v>
      </c>
      <c r="D262" s="97"/>
      <c r="E262" s="65" t="s">
        <v>10</v>
      </c>
      <c r="F262" s="80" t="s">
        <v>64</v>
      </c>
      <c r="G262" s="31" t="s">
        <v>64</v>
      </c>
      <c r="H262" s="83" t="s">
        <v>47</v>
      </c>
      <c r="I262" s="65">
        <v>15</v>
      </c>
      <c r="J262" s="69" t="s">
        <v>0</v>
      </c>
      <c r="K262" s="77">
        <v>1947</v>
      </c>
      <c r="L262" s="66">
        <f t="shared" si="103"/>
        <v>29205</v>
      </c>
      <c r="M262" s="5">
        <f t="shared" si="104"/>
        <v>1092398.9500000002</v>
      </c>
      <c r="N262" s="86" t="s">
        <v>823</v>
      </c>
      <c r="O262" s="64">
        <f>2+3+1+2+1+5+1</f>
        <v>15</v>
      </c>
      <c r="P262" s="67">
        <f t="shared" si="107"/>
        <v>0</v>
      </c>
      <c r="Q262" s="68" t="s">
        <v>824</v>
      </c>
      <c r="R262" s="68"/>
    </row>
    <row r="263" spans="1:18" ht="58" x14ac:dyDescent="0.35">
      <c r="A263" s="70">
        <v>44662</v>
      </c>
      <c r="B263" s="51">
        <f t="shared" si="116"/>
        <v>4</v>
      </c>
      <c r="C263" s="11">
        <f t="shared" si="117"/>
        <v>2022</v>
      </c>
      <c r="D263" s="97" t="s">
        <v>799</v>
      </c>
      <c r="E263" s="65" t="s">
        <v>307</v>
      </c>
      <c r="F263" s="80" t="s">
        <v>643</v>
      </c>
      <c r="G263" s="80" t="s">
        <v>643</v>
      </c>
      <c r="H263" s="83" t="s">
        <v>47</v>
      </c>
      <c r="I263" s="65">
        <v>4</v>
      </c>
      <c r="J263" s="69" t="s">
        <v>125</v>
      </c>
      <c r="K263" s="77">
        <v>320</v>
      </c>
      <c r="L263" s="66">
        <f t="shared" si="103"/>
        <v>1280</v>
      </c>
      <c r="M263" s="5">
        <f t="shared" si="104"/>
        <v>1093678.9500000002</v>
      </c>
      <c r="N263" s="86" t="s">
        <v>949</v>
      </c>
      <c r="O263" s="64">
        <f>1+1+1+1</f>
        <v>4</v>
      </c>
      <c r="P263" s="67">
        <f t="shared" si="107"/>
        <v>0</v>
      </c>
      <c r="Q263" s="68" t="s">
        <v>950</v>
      </c>
      <c r="R263" s="68"/>
    </row>
    <row r="264" spans="1:18" ht="29" x14ac:dyDescent="0.35">
      <c r="A264" s="70">
        <v>44663</v>
      </c>
      <c r="B264" s="51">
        <f t="shared" si="116"/>
        <v>4</v>
      </c>
      <c r="C264" s="11">
        <f t="shared" si="117"/>
        <v>2022</v>
      </c>
      <c r="D264" s="97" t="s">
        <v>788</v>
      </c>
      <c r="E264" s="65" t="s">
        <v>686</v>
      </c>
      <c r="F264" s="80" t="s">
        <v>787</v>
      </c>
      <c r="G264" s="31" t="s">
        <v>787</v>
      </c>
      <c r="H264" s="83" t="s">
        <v>51</v>
      </c>
      <c r="I264" s="65">
        <v>2</v>
      </c>
      <c r="J264" s="69" t="s">
        <v>125</v>
      </c>
      <c r="K264" s="77">
        <v>69.5</v>
      </c>
      <c r="L264" s="66">
        <f t="shared" ref="L264:L286" si="118">SUM(I264*K264)</f>
        <v>139</v>
      </c>
      <c r="M264" s="5">
        <f t="shared" si="104"/>
        <v>1093817.9500000002</v>
      </c>
      <c r="N264" s="78" t="s">
        <v>789</v>
      </c>
      <c r="O264" s="64">
        <v>2</v>
      </c>
      <c r="P264" s="67">
        <f t="shared" si="107"/>
        <v>0</v>
      </c>
      <c r="Q264" s="68" t="s">
        <v>790</v>
      </c>
      <c r="R264" s="68"/>
    </row>
    <row r="265" spans="1:18" ht="29" x14ac:dyDescent="0.35">
      <c r="A265" s="70">
        <v>44664</v>
      </c>
      <c r="B265" s="51">
        <f t="shared" si="116"/>
        <v>4</v>
      </c>
      <c r="C265" s="11">
        <f t="shared" si="117"/>
        <v>2022</v>
      </c>
      <c r="D265" s="97" t="s">
        <v>798</v>
      </c>
      <c r="E265" s="65" t="s">
        <v>686</v>
      </c>
      <c r="F265" s="80" t="s">
        <v>791</v>
      </c>
      <c r="G265" s="80" t="s">
        <v>791</v>
      </c>
      <c r="H265" s="83" t="s">
        <v>51</v>
      </c>
      <c r="I265" s="65">
        <v>5</v>
      </c>
      <c r="J265" s="69" t="s">
        <v>1</v>
      </c>
      <c r="K265" s="77">
        <v>491.4</v>
      </c>
      <c r="L265" s="66">
        <f t="shared" si="118"/>
        <v>2457</v>
      </c>
      <c r="M265" s="5">
        <f t="shared" si="104"/>
        <v>1096274.9500000002</v>
      </c>
      <c r="N265" s="78" t="s">
        <v>792</v>
      </c>
      <c r="O265" s="64">
        <v>5</v>
      </c>
      <c r="P265" s="67">
        <f t="shared" si="107"/>
        <v>0</v>
      </c>
      <c r="Q265" s="68" t="s">
        <v>793</v>
      </c>
      <c r="R265" s="68"/>
    </row>
    <row r="266" spans="1:18" ht="43.5" x14ac:dyDescent="0.35">
      <c r="A266" s="70">
        <v>44664</v>
      </c>
      <c r="B266" s="51">
        <f t="shared" si="116"/>
        <v>4</v>
      </c>
      <c r="C266" s="11">
        <f t="shared" si="117"/>
        <v>2022</v>
      </c>
      <c r="D266" s="97" t="s">
        <v>796</v>
      </c>
      <c r="E266" s="65" t="s">
        <v>686</v>
      </c>
      <c r="F266" s="80" t="s">
        <v>729</v>
      </c>
      <c r="G266" s="31" t="s">
        <v>729</v>
      </c>
      <c r="H266" s="83" t="s">
        <v>47</v>
      </c>
      <c r="I266" s="65">
        <v>10</v>
      </c>
      <c r="J266" s="69" t="s">
        <v>1</v>
      </c>
      <c r="K266" s="77">
        <v>273</v>
      </c>
      <c r="L266" s="66">
        <f t="shared" si="118"/>
        <v>2730</v>
      </c>
      <c r="M266" s="5">
        <f t="shared" si="104"/>
        <v>1099004.9500000002</v>
      </c>
      <c r="N266" s="86" t="s">
        <v>800</v>
      </c>
      <c r="O266" s="64">
        <f>2+5+3</f>
        <v>10</v>
      </c>
      <c r="P266" s="67">
        <f t="shared" si="107"/>
        <v>0</v>
      </c>
      <c r="Q266" s="68" t="s">
        <v>801</v>
      </c>
      <c r="R266" s="68"/>
    </row>
    <row r="267" spans="1:18" ht="29" x14ac:dyDescent="0.35">
      <c r="A267" s="70">
        <v>44664</v>
      </c>
      <c r="B267" s="51">
        <f t="shared" ref="B267:B269" si="119">MONTH(A267)</f>
        <v>4</v>
      </c>
      <c r="C267" s="11">
        <f t="shared" ref="C267:C269" si="120">YEAR(A267)</f>
        <v>2022</v>
      </c>
      <c r="D267" s="97" t="s">
        <v>796</v>
      </c>
      <c r="E267" s="65" t="s">
        <v>686</v>
      </c>
      <c r="F267" s="80" t="s">
        <v>744</v>
      </c>
      <c r="G267" s="31" t="s">
        <v>744</v>
      </c>
      <c r="H267" s="83" t="s">
        <v>47</v>
      </c>
      <c r="I267" s="65">
        <v>2</v>
      </c>
      <c r="J267" s="69" t="s">
        <v>1</v>
      </c>
      <c r="K267" s="77">
        <v>258</v>
      </c>
      <c r="L267" s="66">
        <f t="shared" si="118"/>
        <v>516</v>
      </c>
      <c r="M267" s="5">
        <f t="shared" si="104"/>
        <v>1099520.9500000002</v>
      </c>
      <c r="N267" s="78" t="s">
        <v>802</v>
      </c>
      <c r="O267" s="64">
        <v>2</v>
      </c>
      <c r="P267" s="67">
        <f t="shared" si="107"/>
        <v>0</v>
      </c>
      <c r="Q267" s="81" t="s">
        <v>806</v>
      </c>
      <c r="R267" s="68"/>
    </row>
    <row r="268" spans="1:18" ht="116" x14ac:dyDescent="0.35">
      <c r="A268" s="70">
        <v>44664</v>
      </c>
      <c r="B268" s="51">
        <f t="shared" si="119"/>
        <v>4</v>
      </c>
      <c r="C268" s="11">
        <f t="shared" si="120"/>
        <v>2022</v>
      </c>
      <c r="D268" s="97" t="s">
        <v>796</v>
      </c>
      <c r="E268" s="65" t="s">
        <v>686</v>
      </c>
      <c r="F268" s="80" t="s">
        <v>791</v>
      </c>
      <c r="G268" s="31" t="s">
        <v>791</v>
      </c>
      <c r="H268" s="83" t="s">
        <v>47</v>
      </c>
      <c r="I268" s="65">
        <v>16</v>
      </c>
      <c r="J268" s="69" t="s">
        <v>1</v>
      </c>
      <c r="K268" s="77">
        <v>491.4</v>
      </c>
      <c r="L268" s="66">
        <f t="shared" si="118"/>
        <v>7862.4</v>
      </c>
      <c r="M268" s="5">
        <f t="shared" si="104"/>
        <v>1107383.3500000001</v>
      </c>
      <c r="N268" s="86" t="s">
        <v>960</v>
      </c>
      <c r="O268" s="64">
        <f>2+2+1+2+2+3+2+2</f>
        <v>16</v>
      </c>
      <c r="P268" s="67">
        <f t="shared" si="107"/>
        <v>0</v>
      </c>
      <c r="Q268" s="68" t="s">
        <v>961</v>
      </c>
      <c r="R268" s="68"/>
    </row>
    <row r="269" spans="1:18" ht="145" x14ac:dyDescent="0.35">
      <c r="A269" s="70">
        <v>44665</v>
      </c>
      <c r="B269" s="51">
        <f t="shared" si="119"/>
        <v>4</v>
      </c>
      <c r="C269" s="11">
        <f t="shared" si="120"/>
        <v>2022</v>
      </c>
      <c r="D269" s="97" t="s">
        <v>797</v>
      </c>
      <c r="E269" s="65" t="s">
        <v>429</v>
      </c>
      <c r="F269" s="80" t="s">
        <v>763</v>
      </c>
      <c r="G269" s="31" t="s">
        <v>763</v>
      </c>
      <c r="H269" s="83" t="s">
        <v>51</v>
      </c>
      <c r="I269" s="65">
        <v>20</v>
      </c>
      <c r="J269" s="69" t="s">
        <v>25</v>
      </c>
      <c r="K269" s="77">
        <v>55</v>
      </c>
      <c r="L269" s="66">
        <f t="shared" si="118"/>
        <v>1100</v>
      </c>
      <c r="M269" s="5">
        <f t="shared" si="104"/>
        <v>1108483.3500000001</v>
      </c>
      <c r="N269" s="86" t="s">
        <v>941</v>
      </c>
      <c r="O269" s="64">
        <f>2+1+2+4+4+1+1+1+2+2</f>
        <v>20</v>
      </c>
      <c r="P269" s="67">
        <f t="shared" si="107"/>
        <v>0</v>
      </c>
      <c r="Q269" s="68" t="s">
        <v>942</v>
      </c>
      <c r="R269" s="68"/>
    </row>
    <row r="270" spans="1:18" ht="116" x14ac:dyDescent="0.35">
      <c r="A270" s="70">
        <v>44665</v>
      </c>
      <c r="B270" s="51">
        <f t="shared" ref="B270:B271" si="121">MONTH(A270)</f>
        <v>4</v>
      </c>
      <c r="C270" s="11">
        <f t="shared" ref="C270:C271" si="122">YEAR(A270)</f>
        <v>2022</v>
      </c>
      <c r="D270" s="97"/>
      <c r="E270" s="65" t="s">
        <v>686</v>
      </c>
      <c r="F270" s="80" t="s">
        <v>729</v>
      </c>
      <c r="G270" s="31" t="s">
        <v>729</v>
      </c>
      <c r="H270" s="83" t="s">
        <v>47</v>
      </c>
      <c r="I270" s="65">
        <v>40</v>
      </c>
      <c r="J270" s="69" t="s">
        <v>1</v>
      </c>
      <c r="K270" s="77">
        <v>276</v>
      </c>
      <c r="L270" s="66">
        <f t="shared" si="118"/>
        <v>11040</v>
      </c>
      <c r="M270" s="5">
        <f t="shared" si="104"/>
        <v>1119523.3500000001</v>
      </c>
      <c r="N270" s="86" t="s">
        <v>831</v>
      </c>
      <c r="O270" s="64">
        <f>4+9+6+1+8+3+4+5</f>
        <v>40</v>
      </c>
      <c r="P270" s="67">
        <f t="shared" si="107"/>
        <v>0</v>
      </c>
      <c r="Q270" s="68" t="s">
        <v>832</v>
      </c>
      <c r="R270" s="68"/>
    </row>
    <row r="271" spans="1:18" ht="14.5" customHeight="1" x14ac:dyDescent="0.35">
      <c r="A271" s="70">
        <v>44667</v>
      </c>
      <c r="B271" s="51">
        <f t="shared" si="121"/>
        <v>4</v>
      </c>
      <c r="C271" s="11">
        <f t="shared" si="122"/>
        <v>2022</v>
      </c>
      <c r="D271" s="97"/>
      <c r="E271" s="65" t="s">
        <v>686</v>
      </c>
      <c r="F271" s="80" t="s">
        <v>813</v>
      </c>
      <c r="G271" s="31" t="s">
        <v>813</v>
      </c>
      <c r="H271" s="83" t="s">
        <v>47</v>
      </c>
      <c r="I271" s="65">
        <v>3</v>
      </c>
      <c r="J271" s="69" t="s">
        <v>0</v>
      </c>
      <c r="K271" s="77">
        <v>1870</v>
      </c>
      <c r="L271" s="66">
        <f t="shared" si="118"/>
        <v>5610</v>
      </c>
      <c r="M271" s="5">
        <f t="shared" si="104"/>
        <v>1125133.3500000001</v>
      </c>
      <c r="N271" s="78" t="s">
        <v>802</v>
      </c>
      <c r="O271" s="64">
        <f>3</f>
        <v>3</v>
      </c>
      <c r="P271" s="67">
        <f t="shared" si="107"/>
        <v>0</v>
      </c>
      <c r="Q271" s="68" t="s">
        <v>803</v>
      </c>
      <c r="R271" s="68"/>
    </row>
    <row r="272" spans="1:18" ht="101.5" x14ac:dyDescent="0.35">
      <c r="A272" s="70">
        <v>44671</v>
      </c>
      <c r="B272" s="51">
        <f t="shared" ref="B272:B280" si="123">MONTH(A272)</f>
        <v>4</v>
      </c>
      <c r="C272" s="11">
        <f t="shared" ref="C272:C280" si="124">YEAR(A272)</f>
        <v>2022</v>
      </c>
      <c r="D272" s="97" t="s">
        <v>812</v>
      </c>
      <c r="E272" s="65" t="s">
        <v>686</v>
      </c>
      <c r="F272" s="80" t="s">
        <v>814</v>
      </c>
      <c r="G272" s="80" t="s">
        <v>814</v>
      </c>
      <c r="H272" s="83" t="s">
        <v>47</v>
      </c>
      <c r="I272" s="65">
        <v>15</v>
      </c>
      <c r="J272" s="69" t="s">
        <v>0</v>
      </c>
      <c r="K272" s="77">
        <v>1892</v>
      </c>
      <c r="L272" s="66">
        <f t="shared" si="118"/>
        <v>28380</v>
      </c>
      <c r="M272" s="5">
        <f t="shared" si="104"/>
        <v>1153513.3500000001</v>
      </c>
      <c r="N272" s="86" t="s">
        <v>872</v>
      </c>
      <c r="O272" s="64">
        <f>2+2+3+3+2+1+2</f>
        <v>15</v>
      </c>
      <c r="P272" s="67">
        <f t="shared" si="107"/>
        <v>0</v>
      </c>
      <c r="Q272" s="68" t="s">
        <v>873</v>
      </c>
      <c r="R272" s="68"/>
    </row>
    <row r="273" spans="1:18" ht="101.5" x14ac:dyDescent="0.35">
      <c r="A273" s="70">
        <v>44671</v>
      </c>
      <c r="B273" s="51">
        <f t="shared" si="123"/>
        <v>4</v>
      </c>
      <c r="C273" s="11">
        <f t="shared" si="124"/>
        <v>2022</v>
      </c>
      <c r="D273" s="97" t="s">
        <v>812</v>
      </c>
      <c r="E273" s="65" t="s">
        <v>686</v>
      </c>
      <c r="F273" s="80" t="s">
        <v>813</v>
      </c>
      <c r="G273" s="80" t="s">
        <v>813</v>
      </c>
      <c r="H273" s="83" t="s">
        <v>47</v>
      </c>
      <c r="I273" s="65">
        <v>20</v>
      </c>
      <c r="J273" s="69" t="s">
        <v>0</v>
      </c>
      <c r="K273" s="77">
        <v>1870</v>
      </c>
      <c r="L273" s="66">
        <f t="shared" si="118"/>
        <v>37400</v>
      </c>
      <c r="M273" s="5">
        <f t="shared" si="104"/>
        <v>1190913.3500000001</v>
      </c>
      <c r="N273" s="86" t="s">
        <v>837</v>
      </c>
      <c r="O273" s="64">
        <f>5+3+1+5+3+1+2</f>
        <v>20</v>
      </c>
      <c r="P273" s="67">
        <f t="shared" si="107"/>
        <v>0</v>
      </c>
      <c r="Q273" s="68" t="s">
        <v>838</v>
      </c>
      <c r="R273" s="68"/>
    </row>
    <row r="274" spans="1:18" ht="14.5" customHeight="1" x14ac:dyDescent="0.35">
      <c r="A274" s="70">
        <v>44673</v>
      </c>
      <c r="B274" s="51">
        <f t="shared" si="123"/>
        <v>4</v>
      </c>
      <c r="C274" s="11">
        <f t="shared" si="124"/>
        <v>2022</v>
      </c>
      <c r="D274" s="97"/>
      <c r="E274" s="65" t="s">
        <v>686</v>
      </c>
      <c r="F274" s="80" t="s">
        <v>687</v>
      </c>
      <c r="G274" s="80" t="s">
        <v>687</v>
      </c>
      <c r="H274" s="83" t="s">
        <v>51</v>
      </c>
      <c r="I274" s="65">
        <v>1</v>
      </c>
      <c r="J274" s="69" t="s">
        <v>0</v>
      </c>
      <c r="K274" s="77">
        <v>1870</v>
      </c>
      <c r="L274" s="66">
        <f t="shared" si="118"/>
        <v>1870</v>
      </c>
      <c r="M274" s="5">
        <f t="shared" si="104"/>
        <v>1192783.3500000001</v>
      </c>
      <c r="N274" s="78" t="s">
        <v>819</v>
      </c>
      <c r="O274" s="64">
        <v>1</v>
      </c>
      <c r="P274" s="67">
        <f t="shared" si="107"/>
        <v>0</v>
      </c>
      <c r="Q274" s="68" t="s">
        <v>820</v>
      </c>
      <c r="R274" s="68"/>
    </row>
    <row r="275" spans="1:18" ht="43.5" x14ac:dyDescent="0.35">
      <c r="A275" s="70">
        <v>44673</v>
      </c>
      <c r="B275" s="51">
        <f t="shared" si="123"/>
        <v>4</v>
      </c>
      <c r="C275" s="11">
        <f t="shared" si="124"/>
        <v>2022</v>
      </c>
      <c r="D275" s="97"/>
      <c r="E275" s="65" t="s">
        <v>686</v>
      </c>
      <c r="F275" s="80" t="s">
        <v>981</v>
      </c>
      <c r="G275" s="80" t="s">
        <v>981</v>
      </c>
      <c r="H275" s="83" t="s">
        <v>51</v>
      </c>
      <c r="I275" s="65">
        <v>3</v>
      </c>
      <c r="J275" s="69" t="s">
        <v>217</v>
      </c>
      <c r="K275" s="77">
        <v>370</v>
      </c>
      <c r="L275" s="66">
        <f t="shared" si="118"/>
        <v>1110</v>
      </c>
      <c r="M275" s="5">
        <f t="shared" si="104"/>
        <v>1193893.3500000001</v>
      </c>
      <c r="N275" s="86" t="s">
        <v>886</v>
      </c>
      <c r="O275" s="64">
        <f>1+1+1</f>
        <v>3</v>
      </c>
      <c r="P275" s="67">
        <f t="shared" si="107"/>
        <v>0</v>
      </c>
      <c r="Q275" s="68" t="s">
        <v>888</v>
      </c>
      <c r="R275" s="68"/>
    </row>
    <row r="276" spans="1:18" ht="145" x14ac:dyDescent="0.35">
      <c r="A276" s="70">
        <v>44673</v>
      </c>
      <c r="B276" s="51">
        <f t="shared" si="123"/>
        <v>4</v>
      </c>
      <c r="C276" s="11">
        <f t="shared" si="124"/>
        <v>2022</v>
      </c>
      <c r="D276" s="97"/>
      <c r="E276" s="65" t="s">
        <v>10</v>
      </c>
      <c r="F276" s="80" t="s">
        <v>28</v>
      </c>
      <c r="G276" s="80" t="s">
        <v>28</v>
      </c>
      <c r="H276" s="83" t="s">
        <v>47</v>
      </c>
      <c r="I276" s="65">
        <v>40</v>
      </c>
      <c r="J276" s="69" t="s">
        <v>217</v>
      </c>
      <c r="K276" s="77">
        <v>32.5</v>
      </c>
      <c r="L276" s="66">
        <f t="shared" si="118"/>
        <v>1300</v>
      </c>
      <c r="M276" s="5">
        <f t="shared" si="104"/>
        <v>1195193.3500000001</v>
      </c>
      <c r="N276" s="86" t="s">
        <v>878</v>
      </c>
      <c r="O276" s="64">
        <f>3+5+4+4+4+3+3+5+2+4+3</f>
        <v>40</v>
      </c>
      <c r="P276" s="67">
        <f t="shared" si="107"/>
        <v>0</v>
      </c>
      <c r="Q276" s="68" t="s">
        <v>879</v>
      </c>
      <c r="R276" s="68"/>
    </row>
    <row r="277" spans="1:18" ht="58" x14ac:dyDescent="0.35">
      <c r="A277" s="70">
        <v>44673</v>
      </c>
      <c r="B277" s="51">
        <f t="shared" si="123"/>
        <v>4</v>
      </c>
      <c r="C277" s="11">
        <f t="shared" si="124"/>
        <v>2022</v>
      </c>
      <c r="D277" s="97"/>
      <c r="E277" s="65" t="s">
        <v>10</v>
      </c>
      <c r="F277" s="80" t="s">
        <v>19</v>
      </c>
      <c r="G277" s="31" t="s">
        <v>19</v>
      </c>
      <c r="H277" s="83" t="s">
        <v>47</v>
      </c>
      <c r="I277" s="65">
        <v>20</v>
      </c>
      <c r="J277" s="69" t="s">
        <v>25</v>
      </c>
      <c r="K277" s="77">
        <v>95</v>
      </c>
      <c r="L277" s="66">
        <f t="shared" si="118"/>
        <v>1900</v>
      </c>
      <c r="M277" s="5">
        <f t="shared" si="104"/>
        <v>1197093.3500000001</v>
      </c>
      <c r="N277" s="86" t="s">
        <v>863</v>
      </c>
      <c r="O277" s="64">
        <f>2+12+2+4</f>
        <v>20</v>
      </c>
      <c r="P277" s="67">
        <f t="shared" si="107"/>
        <v>0</v>
      </c>
      <c r="Q277" s="68" t="s">
        <v>864</v>
      </c>
      <c r="R277" s="68"/>
    </row>
    <row r="278" spans="1:18" ht="72.5" x14ac:dyDescent="0.35">
      <c r="A278" s="70">
        <v>44673</v>
      </c>
      <c r="B278" s="51">
        <f t="shared" si="123"/>
        <v>4</v>
      </c>
      <c r="C278" s="11">
        <f t="shared" si="124"/>
        <v>2022</v>
      </c>
      <c r="D278" s="97"/>
      <c r="E278" s="65" t="s">
        <v>10</v>
      </c>
      <c r="F278" s="80" t="s">
        <v>815</v>
      </c>
      <c r="G278" s="31" t="s">
        <v>815</v>
      </c>
      <c r="H278" s="83" t="s">
        <v>47</v>
      </c>
      <c r="I278" s="65">
        <v>20</v>
      </c>
      <c r="J278" s="69" t="s">
        <v>1</v>
      </c>
      <c r="K278" s="77">
        <v>288</v>
      </c>
      <c r="L278" s="66">
        <f t="shared" si="118"/>
        <v>5760</v>
      </c>
      <c r="M278" s="5">
        <f t="shared" si="104"/>
        <v>1202853.3500000001</v>
      </c>
      <c r="N278" s="86" t="s">
        <v>844</v>
      </c>
      <c r="O278" s="64">
        <f>4+2+5+6+3</f>
        <v>20</v>
      </c>
      <c r="P278" s="67">
        <f t="shared" si="107"/>
        <v>0</v>
      </c>
      <c r="Q278" s="68" t="s">
        <v>845</v>
      </c>
      <c r="R278" s="68"/>
    </row>
    <row r="279" spans="1:18" ht="43.5" x14ac:dyDescent="0.35">
      <c r="A279" s="70">
        <v>44673</v>
      </c>
      <c r="B279" s="51">
        <f t="shared" si="123"/>
        <v>4</v>
      </c>
      <c r="C279" s="11">
        <f t="shared" si="124"/>
        <v>2022</v>
      </c>
      <c r="D279" s="97"/>
      <c r="E279" s="65" t="s">
        <v>686</v>
      </c>
      <c r="F279" s="80" t="s">
        <v>765</v>
      </c>
      <c r="G279" s="80" t="s">
        <v>765</v>
      </c>
      <c r="H279" s="83" t="s">
        <v>51</v>
      </c>
      <c r="I279" s="65">
        <v>1</v>
      </c>
      <c r="J279" s="69" t="s">
        <v>18</v>
      </c>
      <c r="K279" s="77">
        <v>650</v>
      </c>
      <c r="L279" s="66">
        <f t="shared" si="118"/>
        <v>650</v>
      </c>
      <c r="M279" s="5">
        <f t="shared" si="104"/>
        <v>1203503.3500000001</v>
      </c>
      <c r="N279" s="78" t="s">
        <v>827</v>
      </c>
      <c r="O279" s="64">
        <v>1</v>
      </c>
      <c r="P279" s="67">
        <f t="shared" si="107"/>
        <v>0</v>
      </c>
      <c r="Q279" s="68" t="s">
        <v>828</v>
      </c>
      <c r="R279" s="68"/>
    </row>
    <row r="280" spans="1:18" ht="43.5" x14ac:dyDescent="0.35">
      <c r="A280" s="70">
        <v>44678</v>
      </c>
      <c r="B280" s="51">
        <f t="shared" si="123"/>
        <v>4</v>
      </c>
      <c r="C280" s="11">
        <f t="shared" si="124"/>
        <v>2022</v>
      </c>
      <c r="D280" s="97"/>
      <c r="E280" s="65" t="s">
        <v>10</v>
      </c>
      <c r="F280" s="80" t="s">
        <v>816</v>
      </c>
      <c r="G280" s="31" t="s">
        <v>816</v>
      </c>
      <c r="H280" s="83" t="s">
        <v>47</v>
      </c>
      <c r="I280" s="65">
        <v>10</v>
      </c>
      <c r="J280" s="69" t="s">
        <v>0</v>
      </c>
      <c r="K280" s="77">
        <v>1870</v>
      </c>
      <c r="L280" s="66">
        <f t="shared" si="118"/>
        <v>18700</v>
      </c>
      <c r="M280" s="5">
        <f t="shared" si="104"/>
        <v>1222203.3500000001</v>
      </c>
      <c r="N280" s="86" t="s">
        <v>848</v>
      </c>
      <c r="O280" s="64">
        <f>1+4+2+3</f>
        <v>10</v>
      </c>
      <c r="P280" s="67">
        <f t="shared" si="107"/>
        <v>0</v>
      </c>
      <c r="Q280" s="68" t="s">
        <v>849</v>
      </c>
      <c r="R280" s="68"/>
    </row>
    <row r="281" spans="1:18" ht="87" x14ac:dyDescent="0.35">
      <c r="A281" s="70">
        <v>44678</v>
      </c>
      <c r="B281" s="51">
        <f t="shared" ref="B281:B289" si="125">MONTH(A281)</f>
        <v>4</v>
      </c>
      <c r="C281" s="11">
        <f t="shared" ref="C281:C289" si="126">YEAR(A281)</f>
        <v>2022</v>
      </c>
      <c r="D281" s="97"/>
      <c r="E281" s="65" t="s">
        <v>10</v>
      </c>
      <c r="F281" s="80" t="s">
        <v>19</v>
      </c>
      <c r="G281" s="31" t="s">
        <v>19</v>
      </c>
      <c r="H281" s="83" t="s">
        <v>47</v>
      </c>
      <c r="I281" s="65">
        <v>20</v>
      </c>
      <c r="J281" s="69" t="s">
        <v>25</v>
      </c>
      <c r="K281" s="77">
        <v>95</v>
      </c>
      <c r="L281" s="66">
        <f t="shared" si="118"/>
        <v>1900</v>
      </c>
      <c r="M281" s="5">
        <f t="shared" si="104"/>
        <v>1224103.3500000001</v>
      </c>
      <c r="N281" s="86" t="s">
        <v>973</v>
      </c>
      <c r="O281" s="64">
        <f>2+4+4+2+4+4</f>
        <v>20</v>
      </c>
      <c r="P281" s="67">
        <f t="shared" si="107"/>
        <v>0</v>
      </c>
      <c r="Q281" s="68" t="s">
        <v>974</v>
      </c>
      <c r="R281" s="68"/>
    </row>
    <row r="282" spans="1:18" ht="87" x14ac:dyDescent="0.35">
      <c r="A282" s="70">
        <v>44678</v>
      </c>
      <c r="B282" s="51">
        <f t="shared" si="125"/>
        <v>4</v>
      </c>
      <c r="C282" s="11">
        <f t="shared" si="126"/>
        <v>2022</v>
      </c>
      <c r="D282" s="97"/>
      <c r="E282" s="65" t="s">
        <v>10</v>
      </c>
      <c r="F282" s="80" t="s">
        <v>900</v>
      </c>
      <c r="G282" s="31" t="s">
        <v>900</v>
      </c>
      <c r="H282" s="83" t="s">
        <v>47</v>
      </c>
      <c r="I282" s="65">
        <v>20</v>
      </c>
      <c r="J282" s="69" t="s">
        <v>1</v>
      </c>
      <c r="K282" s="77">
        <v>288</v>
      </c>
      <c r="L282" s="66">
        <f t="shared" si="118"/>
        <v>5760</v>
      </c>
      <c r="M282" s="5">
        <f t="shared" si="104"/>
        <v>1229863.3500000001</v>
      </c>
      <c r="N282" s="86" t="s">
        <v>898</v>
      </c>
      <c r="O282" s="64">
        <f>1+5+1+3+1+6+3</f>
        <v>20</v>
      </c>
      <c r="P282" s="67">
        <f t="shared" si="107"/>
        <v>0</v>
      </c>
      <c r="Q282" s="68" t="s">
        <v>899</v>
      </c>
      <c r="R282" s="68"/>
    </row>
    <row r="283" spans="1:18" ht="72.5" x14ac:dyDescent="0.35">
      <c r="A283" s="70">
        <v>44678</v>
      </c>
      <c r="B283" s="51">
        <f t="shared" si="125"/>
        <v>4</v>
      </c>
      <c r="C283" s="11">
        <f t="shared" si="126"/>
        <v>2022</v>
      </c>
      <c r="D283" s="97"/>
      <c r="E283" s="65" t="s">
        <v>686</v>
      </c>
      <c r="F283" s="80" t="s">
        <v>813</v>
      </c>
      <c r="G283" s="31" t="s">
        <v>813</v>
      </c>
      <c r="H283" s="83" t="s">
        <v>47</v>
      </c>
      <c r="I283" s="65">
        <v>5</v>
      </c>
      <c r="J283" s="69" t="s">
        <v>0</v>
      </c>
      <c r="K283" s="77">
        <v>1870</v>
      </c>
      <c r="L283" s="66">
        <f t="shared" si="118"/>
        <v>9350</v>
      </c>
      <c r="M283" s="5">
        <f t="shared" si="104"/>
        <v>1239213.3500000001</v>
      </c>
      <c r="N283" s="86" t="s">
        <v>881</v>
      </c>
      <c r="O283" s="64">
        <f>1+1+1+1+1</f>
        <v>5</v>
      </c>
      <c r="P283" s="67">
        <f t="shared" si="107"/>
        <v>0</v>
      </c>
      <c r="Q283" s="68" t="s">
        <v>882</v>
      </c>
      <c r="R283" s="68"/>
    </row>
    <row r="284" spans="1:18" ht="43.5" x14ac:dyDescent="0.35">
      <c r="A284" s="70">
        <v>44678</v>
      </c>
      <c r="B284" s="51">
        <f t="shared" si="125"/>
        <v>4</v>
      </c>
      <c r="C284" s="11">
        <f t="shared" si="126"/>
        <v>2022</v>
      </c>
      <c r="D284" s="97"/>
      <c r="E284" s="65" t="s">
        <v>686</v>
      </c>
      <c r="F284" s="80" t="s">
        <v>729</v>
      </c>
      <c r="G284" s="31" t="s">
        <v>729</v>
      </c>
      <c r="H284" s="83" t="s">
        <v>47</v>
      </c>
      <c r="I284" s="65">
        <v>20</v>
      </c>
      <c r="J284" s="69" t="s">
        <v>1</v>
      </c>
      <c r="K284" s="77">
        <v>276</v>
      </c>
      <c r="L284" s="66">
        <f t="shared" si="118"/>
        <v>5520</v>
      </c>
      <c r="M284" s="5">
        <f t="shared" si="104"/>
        <v>1244733.3500000001</v>
      </c>
      <c r="N284" s="86" t="s">
        <v>839</v>
      </c>
      <c r="O284" s="64">
        <f>4+12+4</f>
        <v>20</v>
      </c>
      <c r="P284" s="67">
        <f t="shared" si="107"/>
        <v>0</v>
      </c>
      <c r="Q284" s="68" t="s">
        <v>840</v>
      </c>
      <c r="R284" s="68"/>
    </row>
    <row r="285" spans="1:18" ht="58" x14ac:dyDescent="0.35">
      <c r="A285" s="70">
        <v>44678</v>
      </c>
      <c r="B285" s="51">
        <f t="shared" si="125"/>
        <v>4</v>
      </c>
      <c r="C285" s="11">
        <f t="shared" si="126"/>
        <v>2022</v>
      </c>
      <c r="D285" s="97"/>
      <c r="E285" s="65" t="s">
        <v>686</v>
      </c>
      <c r="F285" s="80" t="s">
        <v>765</v>
      </c>
      <c r="G285" s="31" t="s">
        <v>765</v>
      </c>
      <c r="H285" s="83" t="s">
        <v>47</v>
      </c>
      <c r="I285" s="65">
        <v>4</v>
      </c>
      <c r="J285" s="69" t="s">
        <v>18</v>
      </c>
      <c r="K285" s="77">
        <v>650</v>
      </c>
      <c r="L285" s="66">
        <f t="shared" si="118"/>
        <v>2600</v>
      </c>
      <c r="M285" s="5">
        <f t="shared" si="104"/>
        <v>1247333.3500000001</v>
      </c>
      <c r="N285" s="86" t="s">
        <v>865</v>
      </c>
      <c r="O285" s="64">
        <f>1+1+1+1</f>
        <v>4</v>
      </c>
      <c r="P285" s="67">
        <f t="shared" si="107"/>
        <v>0</v>
      </c>
      <c r="Q285" s="68" t="s">
        <v>866</v>
      </c>
      <c r="R285" s="68"/>
    </row>
    <row r="286" spans="1:18" ht="43.5" x14ac:dyDescent="0.35">
      <c r="A286" s="70">
        <v>44680</v>
      </c>
      <c r="B286" s="51">
        <f t="shared" si="125"/>
        <v>4</v>
      </c>
      <c r="C286" s="11">
        <f t="shared" si="126"/>
        <v>2022</v>
      </c>
      <c r="D286" s="97"/>
      <c r="E286" s="65" t="s">
        <v>686</v>
      </c>
      <c r="F286" s="80" t="s">
        <v>818</v>
      </c>
      <c r="G286" s="31" t="s">
        <v>818</v>
      </c>
      <c r="H286" s="83" t="s">
        <v>47</v>
      </c>
      <c r="I286" s="65">
        <v>1</v>
      </c>
      <c r="J286" s="69" t="s">
        <v>817</v>
      </c>
      <c r="K286" s="77">
        <v>1092.3</v>
      </c>
      <c r="L286" s="66">
        <f t="shared" si="118"/>
        <v>1092.3</v>
      </c>
      <c r="M286" s="5">
        <f t="shared" si="104"/>
        <v>1248425.6500000001</v>
      </c>
      <c r="N286" s="78" t="s">
        <v>833</v>
      </c>
      <c r="O286" s="64">
        <v>1</v>
      </c>
      <c r="P286" s="67">
        <f t="shared" si="107"/>
        <v>0</v>
      </c>
      <c r="Q286" s="68" t="s">
        <v>834</v>
      </c>
      <c r="R286" s="68"/>
    </row>
    <row r="287" spans="1:18" ht="43.5" x14ac:dyDescent="0.35">
      <c r="A287" s="70">
        <v>44687</v>
      </c>
      <c r="B287" s="51">
        <f t="shared" si="125"/>
        <v>5</v>
      </c>
      <c r="C287" s="11">
        <f t="shared" si="126"/>
        <v>2022</v>
      </c>
      <c r="D287" s="97"/>
      <c r="E287" s="65" t="s">
        <v>686</v>
      </c>
      <c r="F287" s="80" t="s">
        <v>818</v>
      </c>
      <c r="G287" s="31" t="s">
        <v>818</v>
      </c>
      <c r="H287" s="83" t="s">
        <v>47</v>
      </c>
      <c r="I287" s="65">
        <v>1</v>
      </c>
      <c r="J287" s="69" t="s">
        <v>817</v>
      </c>
      <c r="K287" s="77">
        <v>1092.3</v>
      </c>
      <c r="L287" s="66">
        <f t="shared" ref="L287:L289" si="127">SUM(I287*K287)</f>
        <v>1092.3</v>
      </c>
      <c r="M287" s="5">
        <f t="shared" ref="M287:M289" si="128">SUM(M286+L287)</f>
        <v>1249517.9500000002</v>
      </c>
      <c r="N287" s="78" t="s">
        <v>846</v>
      </c>
      <c r="O287" s="64">
        <v>1</v>
      </c>
      <c r="P287" s="67">
        <f t="shared" si="107"/>
        <v>0</v>
      </c>
      <c r="Q287" s="68" t="s">
        <v>847</v>
      </c>
      <c r="R287" s="68"/>
    </row>
    <row r="288" spans="1:18" ht="29" x14ac:dyDescent="0.35">
      <c r="A288" s="70">
        <v>44688</v>
      </c>
      <c r="B288" s="51">
        <f t="shared" si="125"/>
        <v>5</v>
      </c>
      <c r="C288" s="11">
        <f t="shared" si="126"/>
        <v>2022</v>
      </c>
      <c r="D288" s="97"/>
      <c r="E288" s="65" t="s">
        <v>686</v>
      </c>
      <c r="F288" s="80" t="s">
        <v>729</v>
      </c>
      <c r="G288" s="31" t="s">
        <v>729</v>
      </c>
      <c r="H288" s="83" t="s">
        <v>51</v>
      </c>
      <c r="I288" s="65">
        <v>20</v>
      </c>
      <c r="J288" s="69" t="s">
        <v>1</v>
      </c>
      <c r="K288" s="77">
        <v>276</v>
      </c>
      <c r="L288" s="66">
        <f t="shared" si="127"/>
        <v>5520</v>
      </c>
      <c r="M288" s="5">
        <f t="shared" si="128"/>
        <v>1255037.9500000002</v>
      </c>
      <c r="N288" s="78" t="s">
        <v>850</v>
      </c>
      <c r="O288" s="64">
        <v>20</v>
      </c>
      <c r="P288" s="67">
        <f t="shared" si="107"/>
        <v>0</v>
      </c>
      <c r="Q288" s="68" t="s">
        <v>851</v>
      </c>
      <c r="R288" s="68"/>
    </row>
    <row r="289" spans="1:18" ht="58" x14ac:dyDescent="0.35">
      <c r="A289" s="70">
        <v>44691</v>
      </c>
      <c r="B289" s="51">
        <f t="shared" si="125"/>
        <v>5</v>
      </c>
      <c r="C289" s="11">
        <f t="shared" si="126"/>
        <v>2022</v>
      </c>
      <c r="D289" s="97"/>
      <c r="E289" s="65" t="s">
        <v>686</v>
      </c>
      <c r="F289" s="80" t="s">
        <v>729</v>
      </c>
      <c r="G289" s="31" t="s">
        <v>729</v>
      </c>
      <c r="H289" s="83" t="s">
        <v>47</v>
      </c>
      <c r="I289" s="65">
        <v>20</v>
      </c>
      <c r="J289" s="69" t="s">
        <v>1</v>
      </c>
      <c r="K289" s="77">
        <v>276</v>
      </c>
      <c r="L289" s="66">
        <f t="shared" si="127"/>
        <v>5520</v>
      </c>
      <c r="M289" s="5">
        <f t="shared" si="128"/>
        <v>1260557.9500000002</v>
      </c>
      <c r="N289" s="86" t="s">
        <v>883</v>
      </c>
      <c r="O289" s="64">
        <f>3+10+5+2</f>
        <v>20</v>
      </c>
      <c r="P289" s="67">
        <f t="shared" si="107"/>
        <v>0</v>
      </c>
      <c r="Q289" s="68" t="s">
        <v>884</v>
      </c>
      <c r="R289" s="68"/>
    </row>
    <row r="290" spans="1:18" ht="72.5" x14ac:dyDescent="0.35">
      <c r="A290" s="70">
        <v>44691</v>
      </c>
      <c r="B290" s="51">
        <f t="shared" ref="B290:B295" si="129">MONTH(A290)</f>
        <v>5</v>
      </c>
      <c r="C290" s="11">
        <f t="shared" ref="C290:C295" si="130">YEAR(A290)</f>
        <v>2022</v>
      </c>
      <c r="D290" s="97" t="s">
        <v>890</v>
      </c>
      <c r="E290" s="65" t="s">
        <v>686</v>
      </c>
      <c r="F290" s="80" t="s">
        <v>728</v>
      </c>
      <c r="G290" s="31" t="s">
        <v>728</v>
      </c>
      <c r="H290" s="83" t="s">
        <v>47</v>
      </c>
      <c r="I290" s="65">
        <v>16</v>
      </c>
      <c r="J290" s="69" t="s">
        <v>1</v>
      </c>
      <c r="K290" s="77">
        <v>552</v>
      </c>
      <c r="L290" s="66">
        <f t="shared" ref="L290:L357" si="131">SUM(I290*K290)</f>
        <v>8832</v>
      </c>
      <c r="M290" s="5">
        <f t="shared" ref="M290:M355" si="132">SUM(M289+L290)</f>
        <v>1269389.9500000002</v>
      </c>
      <c r="N290" s="86" t="s">
        <v>874</v>
      </c>
      <c r="O290" s="64">
        <f>2+3+4+2+5</f>
        <v>16</v>
      </c>
      <c r="P290" s="67">
        <f t="shared" si="107"/>
        <v>0</v>
      </c>
      <c r="Q290" s="68" t="s">
        <v>875</v>
      </c>
      <c r="R290" s="68"/>
    </row>
    <row r="291" spans="1:18" ht="29" x14ac:dyDescent="0.35">
      <c r="A291" s="70">
        <v>44691</v>
      </c>
      <c r="B291" s="51">
        <f t="shared" si="129"/>
        <v>5</v>
      </c>
      <c r="C291" s="11">
        <f t="shared" si="130"/>
        <v>2022</v>
      </c>
      <c r="D291" s="97" t="s">
        <v>889</v>
      </c>
      <c r="E291" s="65" t="s">
        <v>686</v>
      </c>
      <c r="F291" s="80" t="s">
        <v>687</v>
      </c>
      <c r="G291" s="31" t="s">
        <v>687</v>
      </c>
      <c r="H291" s="83" t="s">
        <v>51</v>
      </c>
      <c r="I291" s="65">
        <v>1</v>
      </c>
      <c r="J291" s="69" t="s">
        <v>0</v>
      </c>
      <c r="K291" s="77">
        <v>1848</v>
      </c>
      <c r="L291" s="66">
        <f t="shared" si="131"/>
        <v>1848</v>
      </c>
      <c r="M291" s="5">
        <f t="shared" si="132"/>
        <v>1271237.9500000002</v>
      </c>
      <c r="N291" s="78" t="s">
        <v>852</v>
      </c>
      <c r="O291" s="64">
        <v>1</v>
      </c>
      <c r="P291" s="67">
        <f t="shared" si="107"/>
        <v>0</v>
      </c>
      <c r="Q291" s="68" t="s">
        <v>853</v>
      </c>
      <c r="R291" s="68"/>
    </row>
    <row r="292" spans="1:18" ht="14.5" customHeight="1" x14ac:dyDescent="0.35">
      <c r="A292" s="70">
        <v>44691</v>
      </c>
      <c r="B292" s="51">
        <f t="shared" si="129"/>
        <v>5</v>
      </c>
      <c r="C292" s="11">
        <f t="shared" si="130"/>
        <v>2022</v>
      </c>
      <c r="D292" s="97" t="s">
        <v>889</v>
      </c>
      <c r="E292" s="65" t="s">
        <v>686</v>
      </c>
      <c r="F292" s="80" t="s">
        <v>841</v>
      </c>
      <c r="G292" s="31" t="s">
        <v>841</v>
      </c>
      <c r="H292" s="83" t="s">
        <v>51</v>
      </c>
      <c r="I292" s="65">
        <v>2</v>
      </c>
      <c r="J292" s="69" t="s">
        <v>216</v>
      </c>
      <c r="K292" s="77">
        <v>35</v>
      </c>
      <c r="L292" s="66">
        <f t="shared" si="131"/>
        <v>70</v>
      </c>
      <c r="M292" s="5">
        <f t="shared" si="132"/>
        <v>1271307.9500000002</v>
      </c>
      <c r="N292" s="78" t="s">
        <v>859</v>
      </c>
      <c r="O292" s="64">
        <v>2</v>
      </c>
      <c r="P292" s="67">
        <f t="shared" si="107"/>
        <v>0</v>
      </c>
      <c r="Q292" s="68" t="s">
        <v>854</v>
      </c>
      <c r="R292" s="68"/>
    </row>
    <row r="293" spans="1:18" ht="29" x14ac:dyDescent="0.35">
      <c r="A293" s="70">
        <v>44691</v>
      </c>
      <c r="B293" s="51">
        <f t="shared" si="129"/>
        <v>5</v>
      </c>
      <c r="C293" s="11">
        <f t="shared" si="130"/>
        <v>2022</v>
      </c>
      <c r="D293" s="97" t="s">
        <v>889</v>
      </c>
      <c r="E293" s="65" t="s">
        <v>686</v>
      </c>
      <c r="F293" s="80" t="s">
        <v>843</v>
      </c>
      <c r="G293" s="31" t="s">
        <v>843</v>
      </c>
      <c r="H293" s="83" t="s">
        <v>51</v>
      </c>
      <c r="I293" s="65">
        <v>1</v>
      </c>
      <c r="J293" s="69" t="s">
        <v>125</v>
      </c>
      <c r="K293" s="77">
        <v>330</v>
      </c>
      <c r="L293" s="66">
        <f t="shared" si="131"/>
        <v>330</v>
      </c>
      <c r="M293" s="5">
        <f t="shared" si="132"/>
        <v>1271637.9500000002</v>
      </c>
      <c r="N293" s="78" t="s">
        <v>859</v>
      </c>
      <c r="O293" s="64">
        <v>1</v>
      </c>
      <c r="P293" s="67">
        <f t="shared" si="107"/>
        <v>0</v>
      </c>
      <c r="Q293" s="68" t="s">
        <v>860</v>
      </c>
      <c r="R293" s="68"/>
    </row>
    <row r="294" spans="1:18" ht="29" x14ac:dyDescent="0.35">
      <c r="A294" s="70">
        <v>44691</v>
      </c>
      <c r="B294" s="51">
        <f t="shared" si="129"/>
        <v>5</v>
      </c>
      <c r="C294" s="11">
        <f t="shared" si="130"/>
        <v>2022</v>
      </c>
      <c r="D294" s="97" t="s">
        <v>889</v>
      </c>
      <c r="E294" s="65" t="s">
        <v>686</v>
      </c>
      <c r="F294" s="80" t="s">
        <v>842</v>
      </c>
      <c r="G294" s="80" t="s">
        <v>842</v>
      </c>
      <c r="H294" s="83" t="s">
        <v>51</v>
      </c>
      <c r="I294" s="65">
        <v>1</v>
      </c>
      <c r="J294" s="69" t="s">
        <v>18</v>
      </c>
      <c r="K294" s="77">
        <v>248</v>
      </c>
      <c r="L294" s="66">
        <f t="shared" si="131"/>
        <v>248</v>
      </c>
      <c r="M294" s="5">
        <f t="shared" si="132"/>
        <v>1271885.9500000002</v>
      </c>
      <c r="N294" s="78" t="s">
        <v>859</v>
      </c>
      <c r="O294" s="64">
        <v>1</v>
      </c>
      <c r="P294" s="67">
        <f t="shared" si="107"/>
        <v>0</v>
      </c>
      <c r="Q294" s="68" t="s">
        <v>860</v>
      </c>
      <c r="R294" s="68"/>
    </row>
    <row r="295" spans="1:18" ht="29" x14ac:dyDescent="0.35">
      <c r="A295" s="70">
        <v>44699</v>
      </c>
      <c r="B295" s="51">
        <f t="shared" si="129"/>
        <v>5</v>
      </c>
      <c r="C295" s="11">
        <f t="shared" si="130"/>
        <v>2022</v>
      </c>
      <c r="D295" s="97" t="s">
        <v>891</v>
      </c>
      <c r="E295" s="65" t="s">
        <v>686</v>
      </c>
      <c r="F295" s="80" t="s">
        <v>856</v>
      </c>
      <c r="G295" s="80" t="s">
        <v>856</v>
      </c>
      <c r="H295" s="83" t="s">
        <v>51</v>
      </c>
      <c r="I295" s="65">
        <v>1</v>
      </c>
      <c r="J295" s="69" t="s">
        <v>125</v>
      </c>
      <c r="K295" s="77">
        <v>120</v>
      </c>
      <c r="L295" s="66">
        <f t="shared" si="131"/>
        <v>120</v>
      </c>
      <c r="M295" s="5">
        <f>SUM(M294+L295)</f>
        <v>1272005.9500000002</v>
      </c>
      <c r="N295" s="78" t="s">
        <v>857</v>
      </c>
      <c r="O295" s="64">
        <v>1</v>
      </c>
      <c r="P295" s="67">
        <f t="shared" si="107"/>
        <v>0</v>
      </c>
      <c r="Q295" s="68" t="s">
        <v>855</v>
      </c>
      <c r="R295" s="68" t="s">
        <v>858</v>
      </c>
    </row>
    <row r="296" spans="1:18" ht="72.5" x14ac:dyDescent="0.35">
      <c r="A296" s="70">
        <v>44694</v>
      </c>
      <c r="B296" s="51">
        <f t="shared" ref="B296:B300" si="133">MONTH(A296)</f>
        <v>5</v>
      </c>
      <c r="C296" s="11">
        <f t="shared" ref="C296:C300" si="134">YEAR(A296)</f>
        <v>2022</v>
      </c>
      <c r="D296" s="97"/>
      <c r="E296" s="65" t="s">
        <v>429</v>
      </c>
      <c r="F296" s="80" t="s">
        <v>862</v>
      </c>
      <c r="G296" s="31" t="s">
        <v>862</v>
      </c>
      <c r="H296" s="83" t="s">
        <v>51</v>
      </c>
      <c r="I296" s="65">
        <v>20</v>
      </c>
      <c r="J296" s="69" t="s">
        <v>1</v>
      </c>
      <c r="K296" s="77">
        <v>208</v>
      </c>
      <c r="L296" s="66">
        <f t="shared" si="131"/>
        <v>4160</v>
      </c>
      <c r="M296" s="5">
        <f t="shared" si="132"/>
        <v>1276165.9500000002</v>
      </c>
      <c r="N296" s="86" t="s">
        <v>885</v>
      </c>
      <c r="O296" s="64">
        <f>5+3+5+5+2</f>
        <v>20</v>
      </c>
      <c r="P296" s="67">
        <f t="shared" si="107"/>
        <v>0</v>
      </c>
      <c r="Q296" s="68" t="s">
        <v>887</v>
      </c>
      <c r="R296" s="68"/>
    </row>
    <row r="297" spans="1:18" ht="145" x14ac:dyDescent="0.35">
      <c r="A297" s="70">
        <v>44694</v>
      </c>
      <c r="B297" s="51">
        <f t="shared" si="133"/>
        <v>5</v>
      </c>
      <c r="C297" s="11">
        <f t="shared" si="134"/>
        <v>2022</v>
      </c>
      <c r="D297" s="97"/>
      <c r="E297" s="65" t="s">
        <v>429</v>
      </c>
      <c r="F297" s="80" t="s">
        <v>763</v>
      </c>
      <c r="G297" s="31" t="s">
        <v>763</v>
      </c>
      <c r="H297" s="83" t="s">
        <v>51</v>
      </c>
      <c r="I297" s="65">
        <v>24</v>
      </c>
      <c r="J297" s="69" t="s">
        <v>25</v>
      </c>
      <c r="K297" s="77">
        <v>55</v>
      </c>
      <c r="L297" s="66">
        <f t="shared" si="131"/>
        <v>1320</v>
      </c>
      <c r="M297" s="5">
        <f t="shared" si="132"/>
        <v>1277485.9500000002</v>
      </c>
      <c r="N297" s="86" t="s">
        <v>1025</v>
      </c>
      <c r="O297" s="64">
        <f>2+1+1+4+1+1+4+1+2+4+3</f>
        <v>24</v>
      </c>
      <c r="P297" s="67">
        <f t="shared" si="107"/>
        <v>0</v>
      </c>
      <c r="Q297" s="68" t="s">
        <v>1026</v>
      </c>
      <c r="R297" s="68"/>
    </row>
    <row r="298" spans="1:18" ht="72.5" x14ac:dyDescent="0.35">
      <c r="A298" s="70">
        <v>44694</v>
      </c>
      <c r="B298" s="51">
        <f t="shared" si="133"/>
        <v>5</v>
      </c>
      <c r="C298" s="11">
        <f t="shared" si="134"/>
        <v>2022</v>
      </c>
      <c r="D298" s="97"/>
      <c r="E298" s="65" t="s">
        <v>10</v>
      </c>
      <c r="F298" s="80" t="s">
        <v>64</v>
      </c>
      <c r="G298" s="31" t="s">
        <v>64</v>
      </c>
      <c r="H298" s="83" t="s">
        <v>47</v>
      </c>
      <c r="I298" s="65">
        <v>15</v>
      </c>
      <c r="J298" s="69" t="s">
        <v>0</v>
      </c>
      <c r="K298" s="77">
        <v>1870</v>
      </c>
      <c r="L298" s="66">
        <f t="shared" si="131"/>
        <v>28050</v>
      </c>
      <c r="M298" s="5">
        <f t="shared" si="132"/>
        <v>1305535.9500000002</v>
      </c>
      <c r="N298" s="86" t="s">
        <v>901</v>
      </c>
      <c r="O298" s="64">
        <f>2+4+2+1+4+2</f>
        <v>15</v>
      </c>
      <c r="P298" s="67">
        <f t="shared" si="107"/>
        <v>0</v>
      </c>
      <c r="Q298" s="68" t="s">
        <v>902</v>
      </c>
      <c r="R298" s="68"/>
    </row>
    <row r="299" spans="1:18" ht="43.5" x14ac:dyDescent="0.35">
      <c r="A299" s="70">
        <v>44698</v>
      </c>
      <c r="B299" s="51">
        <f t="shared" ref="B299" si="135">MONTH(A299)</f>
        <v>5</v>
      </c>
      <c r="C299" s="11">
        <f t="shared" ref="C299" si="136">YEAR(A299)</f>
        <v>2022</v>
      </c>
      <c r="D299" s="97"/>
      <c r="E299" s="65" t="s">
        <v>10</v>
      </c>
      <c r="F299" s="80" t="s">
        <v>895</v>
      </c>
      <c r="G299" s="80" t="s">
        <v>895</v>
      </c>
      <c r="H299" s="83" t="s">
        <v>47</v>
      </c>
      <c r="I299" s="65">
        <v>15</v>
      </c>
      <c r="J299" s="69" t="s">
        <v>1</v>
      </c>
      <c r="K299" s="77">
        <v>276</v>
      </c>
      <c r="L299" s="66">
        <f t="shared" si="131"/>
        <v>4140</v>
      </c>
      <c r="M299" s="5">
        <f t="shared" si="132"/>
        <v>1309675.9500000002</v>
      </c>
      <c r="N299" s="86" t="s">
        <v>1163</v>
      </c>
      <c r="O299" s="64">
        <f>1+1+1</f>
        <v>3</v>
      </c>
      <c r="P299" s="67">
        <f t="shared" si="107"/>
        <v>12</v>
      </c>
      <c r="Q299" s="68" t="s">
        <v>1164</v>
      </c>
      <c r="R299" s="68"/>
    </row>
    <row r="300" spans="1:18" ht="43.5" x14ac:dyDescent="0.35">
      <c r="A300" s="70">
        <v>44699</v>
      </c>
      <c r="B300" s="51">
        <f t="shared" si="133"/>
        <v>5</v>
      </c>
      <c r="C300" s="11">
        <f t="shared" si="134"/>
        <v>2022</v>
      </c>
      <c r="D300" s="97" t="s">
        <v>891</v>
      </c>
      <c r="E300" s="65" t="s">
        <v>686</v>
      </c>
      <c r="F300" s="80" t="s">
        <v>765</v>
      </c>
      <c r="G300" s="31" t="s">
        <v>765</v>
      </c>
      <c r="H300" s="83" t="s">
        <v>51</v>
      </c>
      <c r="I300" s="65">
        <v>1</v>
      </c>
      <c r="J300" s="69" t="s">
        <v>18</v>
      </c>
      <c r="K300" s="77">
        <v>650</v>
      </c>
      <c r="L300" s="66">
        <f t="shared" si="131"/>
        <v>650</v>
      </c>
      <c r="M300" s="5">
        <f t="shared" si="132"/>
        <v>1310325.9500000002</v>
      </c>
      <c r="N300" s="78" t="s">
        <v>867</v>
      </c>
      <c r="O300" s="64">
        <v>1</v>
      </c>
      <c r="P300" s="67">
        <f t="shared" si="107"/>
        <v>0</v>
      </c>
      <c r="Q300" s="68" t="s">
        <v>868</v>
      </c>
      <c r="R300" s="68"/>
    </row>
    <row r="301" spans="1:18" ht="29" x14ac:dyDescent="0.35">
      <c r="A301" s="70">
        <v>44699</v>
      </c>
      <c r="B301" s="51">
        <f t="shared" ref="B301:B303" si="137">MONTH(A301)</f>
        <v>5</v>
      </c>
      <c r="C301" s="11">
        <f t="shared" ref="C301:C303" si="138">YEAR(A301)</f>
        <v>2022</v>
      </c>
      <c r="D301" s="97" t="s">
        <v>891</v>
      </c>
      <c r="E301" s="65" t="s">
        <v>686</v>
      </c>
      <c r="F301" s="80" t="s">
        <v>869</v>
      </c>
      <c r="G301" s="80" t="s">
        <v>869</v>
      </c>
      <c r="H301" s="83" t="s">
        <v>51</v>
      </c>
      <c r="I301" s="65">
        <v>1</v>
      </c>
      <c r="J301" s="69" t="s">
        <v>125</v>
      </c>
      <c r="K301" s="77">
        <v>115</v>
      </c>
      <c r="L301" s="66">
        <f t="shared" si="131"/>
        <v>115</v>
      </c>
      <c r="M301" s="5">
        <f t="shared" si="132"/>
        <v>1310440.9500000002</v>
      </c>
      <c r="N301" s="78" t="s">
        <v>876</v>
      </c>
      <c r="O301" s="64">
        <v>1</v>
      </c>
      <c r="P301" s="67">
        <f t="shared" si="107"/>
        <v>0</v>
      </c>
      <c r="Q301" s="68" t="s">
        <v>877</v>
      </c>
      <c r="R301" s="68"/>
    </row>
    <row r="302" spans="1:18" ht="72.5" x14ac:dyDescent="0.35">
      <c r="A302" s="70">
        <v>44699</v>
      </c>
      <c r="B302" s="51">
        <f t="shared" si="137"/>
        <v>5</v>
      </c>
      <c r="C302" s="11">
        <f t="shared" si="138"/>
        <v>2022</v>
      </c>
      <c r="D302" s="97" t="s">
        <v>916</v>
      </c>
      <c r="E302" s="65" t="s">
        <v>686</v>
      </c>
      <c r="F302" s="80" t="s">
        <v>813</v>
      </c>
      <c r="G302" s="31" t="s">
        <v>813</v>
      </c>
      <c r="H302" s="83" t="s">
        <v>47</v>
      </c>
      <c r="I302" s="65">
        <v>20</v>
      </c>
      <c r="J302" s="69" t="s">
        <v>0</v>
      </c>
      <c r="K302" s="77">
        <v>1848</v>
      </c>
      <c r="L302" s="66">
        <f t="shared" si="131"/>
        <v>36960</v>
      </c>
      <c r="M302" s="5">
        <f t="shared" si="132"/>
        <v>1347400.9500000002</v>
      </c>
      <c r="N302" s="86" t="s">
        <v>933</v>
      </c>
      <c r="O302" s="64">
        <f>5+2+5+4+4</f>
        <v>20</v>
      </c>
      <c r="P302" s="67">
        <f t="shared" si="107"/>
        <v>0</v>
      </c>
      <c r="Q302" s="68" t="s">
        <v>934</v>
      </c>
      <c r="R302" s="68"/>
    </row>
    <row r="303" spans="1:18" ht="14.5" customHeight="1" x14ac:dyDescent="0.35">
      <c r="A303" s="70">
        <v>44700</v>
      </c>
      <c r="B303" s="51">
        <f t="shared" si="137"/>
        <v>5</v>
      </c>
      <c r="C303" s="11">
        <f t="shared" si="138"/>
        <v>2022</v>
      </c>
      <c r="D303" s="97" t="s">
        <v>917</v>
      </c>
      <c r="E303" s="65" t="s">
        <v>10</v>
      </c>
      <c r="F303" s="30" t="s">
        <v>245</v>
      </c>
      <c r="G303" s="31" t="s">
        <v>245</v>
      </c>
      <c r="H303" s="83" t="s">
        <v>51</v>
      </c>
      <c r="I303" s="65">
        <v>12</v>
      </c>
      <c r="J303" s="69" t="s">
        <v>125</v>
      </c>
      <c r="K303" s="77">
        <v>40</v>
      </c>
      <c r="L303" s="66">
        <f t="shared" si="131"/>
        <v>480</v>
      </c>
      <c r="M303" s="5">
        <f t="shared" si="132"/>
        <v>1347880.9500000002</v>
      </c>
      <c r="N303" s="78" t="s">
        <v>870</v>
      </c>
      <c r="O303" s="64">
        <v>12</v>
      </c>
      <c r="P303" s="67">
        <f t="shared" si="107"/>
        <v>0</v>
      </c>
      <c r="Q303" s="68" t="s">
        <v>871</v>
      </c>
      <c r="R303" s="68"/>
    </row>
    <row r="304" spans="1:18" ht="130.5" x14ac:dyDescent="0.35">
      <c r="A304" s="70">
        <v>44701</v>
      </c>
      <c r="B304" s="51">
        <f t="shared" ref="B304:B319" si="139">MONTH(A304)</f>
        <v>5</v>
      </c>
      <c r="C304" s="11">
        <f t="shared" ref="C304:C319" si="140">YEAR(A304)</f>
        <v>2022</v>
      </c>
      <c r="D304" s="97" t="s">
        <v>918</v>
      </c>
      <c r="E304" s="65" t="s">
        <v>686</v>
      </c>
      <c r="F304" s="30" t="s">
        <v>880</v>
      </c>
      <c r="G304" s="31" t="s">
        <v>880</v>
      </c>
      <c r="H304" s="83" t="s">
        <v>47</v>
      </c>
      <c r="I304" s="65">
        <v>40</v>
      </c>
      <c r="J304" s="69" t="s">
        <v>217</v>
      </c>
      <c r="K304" s="77">
        <v>32.5</v>
      </c>
      <c r="L304" s="66">
        <f t="shared" si="131"/>
        <v>1300</v>
      </c>
      <c r="M304" s="5">
        <f t="shared" si="132"/>
        <v>1349180.9500000002</v>
      </c>
      <c r="N304" s="86" t="s">
        <v>945</v>
      </c>
      <c r="O304" s="64">
        <f>1+10+2+3+4+4+2+10+2+1+1</f>
        <v>40</v>
      </c>
      <c r="P304" s="67">
        <f t="shared" si="107"/>
        <v>0</v>
      </c>
      <c r="Q304" s="68" t="s">
        <v>946</v>
      </c>
      <c r="R304" s="68"/>
    </row>
    <row r="305" spans="1:18" ht="58" x14ac:dyDescent="0.35">
      <c r="A305" s="70">
        <v>44701</v>
      </c>
      <c r="B305" s="51">
        <f t="shared" si="139"/>
        <v>5</v>
      </c>
      <c r="C305" s="11">
        <f t="shared" si="140"/>
        <v>2022</v>
      </c>
      <c r="D305" s="97" t="s">
        <v>918</v>
      </c>
      <c r="E305" s="65" t="s">
        <v>686</v>
      </c>
      <c r="F305" s="30" t="s">
        <v>765</v>
      </c>
      <c r="G305" s="31" t="s">
        <v>765</v>
      </c>
      <c r="H305" s="83" t="s">
        <v>47</v>
      </c>
      <c r="I305" s="65">
        <v>4</v>
      </c>
      <c r="J305" s="69" t="s">
        <v>18</v>
      </c>
      <c r="K305" s="77">
        <v>650</v>
      </c>
      <c r="L305" s="66">
        <f t="shared" si="131"/>
        <v>2600</v>
      </c>
      <c r="M305" s="5">
        <f t="shared" si="132"/>
        <v>1351780.9500000002</v>
      </c>
      <c r="N305" s="86" t="s">
        <v>969</v>
      </c>
      <c r="O305" s="64">
        <f>1+1+1+1</f>
        <v>4</v>
      </c>
      <c r="P305" s="67">
        <f t="shared" ref="P305:P368" si="141">I305-O305</f>
        <v>0</v>
      </c>
      <c r="Q305" s="81" t="s">
        <v>970</v>
      </c>
      <c r="R305" s="68"/>
    </row>
    <row r="306" spans="1:18" ht="58" x14ac:dyDescent="0.35">
      <c r="A306" s="70">
        <v>44702</v>
      </c>
      <c r="B306" s="51">
        <f t="shared" si="139"/>
        <v>5</v>
      </c>
      <c r="C306" s="11">
        <f t="shared" si="140"/>
        <v>2022</v>
      </c>
      <c r="D306" s="97" t="s">
        <v>919</v>
      </c>
      <c r="E306" s="65" t="s">
        <v>686</v>
      </c>
      <c r="F306" s="30" t="s">
        <v>729</v>
      </c>
      <c r="G306" s="31" t="s">
        <v>729</v>
      </c>
      <c r="H306" s="83" t="s">
        <v>47</v>
      </c>
      <c r="I306" s="65">
        <v>20</v>
      </c>
      <c r="J306" s="69" t="s">
        <v>1</v>
      </c>
      <c r="K306" s="77">
        <v>276</v>
      </c>
      <c r="L306" s="66">
        <f t="shared" si="131"/>
        <v>5520</v>
      </c>
      <c r="M306" s="5">
        <f t="shared" si="132"/>
        <v>1357300.9500000002</v>
      </c>
      <c r="N306" s="86" t="s">
        <v>896</v>
      </c>
      <c r="O306" s="64">
        <f>3+8+3+6</f>
        <v>20</v>
      </c>
      <c r="P306" s="67">
        <f t="shared" si="141"/>
        <v>0</v>
      </c>
      <c r="Q306" s="68" t="s">
        <v>897</v>
      </c>
      <c r="R306" s="68"/>
    </row>
    <row r="307" spans="1:18" ht="130.5" x14ac:dyDescent="0.35">
      <c r="A307" s="70">
        <v>44704</v>
      </c>
      <c r="B307" s="51">
        <f t="shared" si="139"/>
        <v>5</v>
      </c>
      <c r="C307" s="11">
        <f t="shared" si="140"/>
        <v>2022</v>
      </c>
      <c r="D307" s="97" t="s">
        <v>924</v>
      </c>
      <c r="E307" s="65" t="s">
        <v>686</v>
      </c>
      <c r="F307" s="80" t="s">
        <v>925</v>
      </c>
      <c r="G307" s="31" t="s">
        <v>925</v>
      </c>
      <c r="H307" s="83" t="s">
        <v>47</v>
      </c>
      <c r="I307" s="65">
        <v>15</v>
      </c>
      <c r="J307" s="69" t="s">
        <v>0</v>
      </c>
      <c r="K307" s="77">
        <v>1848</v>
      </c>
      <c r="L307" s="66">
        <f t="shared" si="131"/>
        <v>27720</v>
      </c>
      <c r="M307" s="5">
        <f t="shared" si="132"/>
        <v>1385020.9500000002</v>
      </c>
      <c r="N307" s="86" t="s">
        <v>968</v>
      </c>
      <c r="O307" s="64">
        <f>1+1+2+1+1+1+4+2+2</f>
        <v>15</v>
      </c>
      <c r="P307" s="67">
        <f t="shared" si="141"/>
        <v>0</v>
      </c>
      <c r="Q307" s="68" t="s">
        <v>967</v>
      </c>
      <c r="R307" s="68"/>
    </row>
    <row r="308" spans="1:18" ht="29" x14ac:dyDescent="0.35">
      <c r="A308" s="70">
        <v>44709</v>
      </c>
      <c r="B308" s="51">
        <f t="shared" si="139"/>
        <v>5</v>
      </c>
      <c r="C308" s="11">
        <f t="shared" si="140"/>
        <v>2022</v>
      </c>
      <c r="D308" s="97" t="s">
        <v>920</v>
      </c>
      <c r="E308" s="65" t="s">
        <v>10</v>
      </c>
      <c r="F308" s="80" t="s">
        <v>892</v>
      </c>
      <c r="G308" s="80" t="s">
        <v>892</v>
      </c>
      <c r="H308" s="83" t="s">
        <v>51</v>
      </c>
      <c r="I308" s="65">
        <v>1</v>
      </c>
      <c r="J308" s="69" t="s">
        <v>125</v>
      </c>
      <c r="K308" s="77">
        <v>186</v>
      </c>
      <c r="L308" s="66">
        <f t="shared" si="131"/>
        <v>186</v>
      </c>
      <c r="M308" s="5">
        <f t="shared" si="132"/>
        <v>1385206.9500000002</v>
      </c>
      <c r="N308" s="78" t="s">
        <v>893</v>
      </c>
      <c r="O308" s="64">
        <v>1</v>
      </c>
      <c r="P308" s="67">
        <f t="shared" si="141"/>
        <v>0</v>
      </c>
      <c r="Q308" s="68" t="s">
        <v>894</v>
      </c>
      <c r="R308" s="68"/>
    </row>
    <row r="309" spans="1:18" ht="43.5" x14ac:dyDescent="0.35">
      <c r="A309" s="70">
        <v>44713</v>
      </c>
      <c r="B309" s="51">
        <f t="shared" si="139"/>
        <v>6</v>
      </c>
      <c r="C309" s="11">
        <f t="shared" si="140"/>
        <v>2022</v>
      </c>
      <c r="D309" s="97" t="s">
        <v>921</v>
      </c>
      <c r="E309" s="65" t="s">
        <v>10</v>
      </c>
      <c r="F309" s="80" t="s">
        <v>816</v>
      </c>
      <c r="G309" s="80" t="s">
        <v>816</v>
      </c>
      <c r="H309" s="83" t="s">
        <v>47</v>
      </c>
      <c r="I309" s="65">
        <v>5</v>
      </c>
      <c r="J309" s="69" t="s">
        <v>0</v>
      </c>
      <c r="K309" s="77">
        <v>1870</v>
      </c>
      <c r="L309" s="66">
        <f t="shared" si="131"/>
        <v>9350</v>
      </c>
      <c r="M309" s="5">
        <f t="shared" si="132"/>
        <v>1394556.9500000002</v>
      </c>
      <c r="N309" s="86" t="s">
        <v>943</v>
      </c>
      <c r="O309" s="64">
        <f>1+1+1+2</f>
        <v>5</v>
      </c>
      <c r="P309" s="67">
        <f t="shared" si="141"/>
        <v>0</v>
      </c>
      <c r="Q309" s="68" t="s">
        <v>944</v>
      </c>
      <c r="R309" s="68"/>
    </row>
    <row r="310" spans="1:18" ht="159.5" x14ac:dyDescent="0.35">
      <c r="A310" s="70">
        <v>44713</v>
      </c>
      <c r="B310" s="51">
        <f t="shared" si="139"/>
        <v>6</v>
      </c>
      <c r="C310" s="11">
        <f t="shared" si="140"/>
        <v>2022</v>
      </c>
      <c r="D310" s="97" t="s">
        <v>905</v>
      </c>
      <c r="E310" s="65" t="s">
        <v>10</v>
      </c>
      <c r="F310" s="80" t="s">
        <v>28</v>
      </c>
      <c r="G310" s="80" t="s">
        <v>28</v>
      </c>
      <c r="H310" s="83" t="s">
        <v>47</v>
      </c>
      <c r="I310" s="65">
        <v>40</v>
      </c>
      <c r="J310" s="69" t="s">
        <v>217</v>
      </c>
      <c r="K310" s="77">
        <v>32.5</v>
      </c>
      <c r="L310" s="66">
        <f t="shared" si="131"/>
        <v>1300</v>
      </c>
      <c r="M310" s="5">
        <f t="shared" si="132"/>
        <v>1395856.9500000002</v>
      </c>
      <c r="N310" s="86" t="s">
        <v>998</v>
      </c>
      <c r="O310" s="64">
        <f>4+2+10+4+2+2+5+2+1+3+5</f>
        <v>40</v>
      </c>
      <c r="P310" s="67">
        <f t="shared" si="141"/>
        <v>0</v>
      </c>
      <c r="Q310" s="68" t="s">
        <v>999</v>
      </c>
      <c r="R310" s="68"/>
    </row>
    <row r="311" spans="1:18" ht="58" x14ac:dyDescent="0.35">
      <c r="A311" s="70">
        <v>44714</v>
      </c>
      <c r="B311" s="51">
        <f t="shared" si="139"/>
        <v>6</v>
      </c>
      <c r="C311" s="11">
        <f t="shared" si="140"/>
        <v>2022</v>
      </c>
      <c r="D311" s="97" t="s">
        <v>921</v>
      </c>
      <c r="E311" s="65" t="s">
        <v>10</v>
      </c>
      <c r="F311" s="80" t="s">
        <v>816</v>
      </c>
      <c r="G311" s="80" t="s">
        <v>816</v>
      </c>
      <c r="H311" s="83" t="s">
        <v>47</v>
      </c>
      <c r="I311" s="65">
        <v>5</v>
      </c>
      <c r="J311" s="69" t="s">
        <v>0</v>
      </c>
      <c r="K311" s="77">
        <v>1870</v>
      </c>
      <c r="L311" s="66">
        <f t="shared" si="131"/>
        <v>9350</v>
      </c>
      <c r="M311" s="5">
        <f t="shared" si="132"/>
        <v>1405206.9500000002</v>
      </c>
      <c r="N311" s="86" t="s">
        <v>947</v>
      </c>
      <c r="O311" s="64">
        <f>1+1+2+1</f>
        <v>5</v>
      </c>
      <c r="P311" s="67">
        <f t="shared" si="141"/>
        <v>0</v>
      </c>
      <c r="Q311" s="68" t="s">
        <v>948</v>
      </c>
      <c r="R311" s="68"/>
    </row>
    <row r="312" spans="1:18" ht="116" x14ac:dyDescent="0.35">
      <c r="A312" s="70">
        <v>44714</v>
      </c>
      <c r="B312" s="51">
        <f t="shared" si="139"/>
        <v>6</v>
      </c>
      <c r="C312" s="11">
        <f t="shared" si="140"/>
        <v>2022</v>
      </c>
      <c r="D312" s="97" t="s">
        <v>922</v>
      </c>
      <c r="E312" s="65" t="s">
        <v>10</v>
      </c>
      <c r="F312" s="80" t="s">
        <v>900</v>
      </c>
      <c r="G312" s="80" t="s">
        <v>900</v>
      </c>
      <c r="H312" s="83" t="s">
        <v>47</v>
      </c>
      <c r="I312" s="65">
        <v>20</v>
      </c>
      <c r="J312" s="69" t="s">
        <v>1</v>
      </c>
      <c r="K312" s="77">
        <v>288</v>
      </c>
      <c r="L312" s="66">
        <f t="shared" si="131"/>
        <v>5760</v>
      </c>
      <c r="M312" s="5">
        <f t="shared" si="132"/>
        <v>1410966.9500000002</v>
      </c>
      <c r="N312" s="86" t="s">
        <v>1042</v>
      </c>
      <c r="O312" s="64">
        <f>5+1+1+2+5+3+1+2</f>
        <v>20</v>
      </c>
      <c r="P312" s="67">
        <f t="shared" si="141"/>
        <v>0</v>
      </c>
      <c r="Q312" s="68" t="s">
        <v>1043</v>
      </c>
      <c r="R312" s="68"/>
    </row>
    <row r="313" spans="1:18" ht="43.5" x14ac:dyDescent="0.35">
      <c r="A313" s="70">
        <v>44715</v>
      </c>
      <c r="B313" s="51">
        <f t="shared" si="139"/>
        <v>6</v>
      </c>
      <c r="C313" s="11">
        <f t="shared" si="140"/>
        <v>2022</v>
      </c>
      <c r="D313" s="97" t="s">
        <v>923</v>
      </c>
      <c r="E313" s="65" t="s">
        <v>686</v>
      </c>
      <c r="F313" s="80" t="s">
        <v>981</v>
      </c>
      <c r="G313" s="31" t="s">
        <v>981</v>
      </c>
      <c r="H313" s="83" t="s">
        <v>47</v>
      </c>
      <c r="I313" s="65">
        <v>3</v>
      </c>
      <c r="J313" s="69" t="s">
        <v>217</v>
      </c>
      <c r="K313" s="77">
        <v>370</v>
      </c>
      <c r="L313" s="66">
        <f t="shared" si="131"/>
        <v>1110</v>
      </c>
      <c r="M313" s="5">
        <f t="shared" si="132"/>
        <v>1412076.9500000002</v>
      </c>
      <c r="N313" s="86" t="s">
        <v>986</v>
      </c>
      <c r="O313" s="64">
        <f>1+1+1</f>
        <v>3</v>
      </c>
      <c r="P313" s="67">
        <f t="shared" si="141"/>
        <v>0</v>
      </c>
      <c r="Q313" s="68" t="s">
        <v>987</v>
      </c>
      <c r="R313" s="68"/>
    </row>
    <row r="314" spans="1:18" ht="58" x14ac:dyDescent="0.35">
      <c r="A314" s="70">
        <v>44715</v>
      </c>
      <c r="B314" s="51">
        <f t="shared" si="139"/>
        <v>6</v>
      </c>
      <c r="C314" s="11">
        <f t="shared" si="140"/>
        <v>2022</v>
      </c>
      <c r="D314" s="97" t="s">
        <v>923</v>
      </c>
      <c r="E314" s="65" t="s">
        <v>686</v>
      </c>
      <c r="F314" s="80" t="s">
        <v>729</v>
      </c>
      <c r="G314" s="31" t="s">
        <v>729</v>
      </c>
      <c r="H314" s="83" t="s">
        <v>47</v>
      </c>
      <c r="I314" s="65">
        <v>20</v>
      </c>
      <c r="J314" s="69" t="s">
        <v>1</v>
      </c>
      <c r="K314" s="77">
        <v>276</v>
      </c>
      <c r="L314" s="66">
        <f t="shared" si="131"/>
        <v>5520</v>
      </c>
      <c r="M314" s="5">
        <f t="shared" si="132"/>
        <v>1417596.9500000002</v>
      </c>
      <c r="N314" s="86" t="s">
        <v>939</v>
      </c>
      <c r="O314" s="64">
        <f>10+5+2+1+2</f>
        <v>20</v>
      </c>
      <c r="P314" s="67">
        <f t="shared" si="141"/>
        <v>0</v>
      </c>
      <c r="Q314" s="68" t="s">
        <v>940</v>
      </c>
      <c r="R314" s="68"/>
    </row>
    <row r="315" spans="1:18" ht="101.5" x14ac:dyDescent="0.35">
      <c r="A315" s="70">
        <v>44719</v>
      </c>
      <c r="B315" s="51">
        <f t="shared" si="139"/>
        <v>6</v>
      </c>
      <c r="C315" s="11">
        <f t="shared" si="140"/>
        <v>2022</v>
      </c>
      <c r="D315" s="97" t="s">
        <v>926</v>
      </c>
      <c r="E315" s="65" t="s">
        <v>686</v>
      </c>
      <c r="F315" s="80" t="s">
        <v>813</v>
      </c>
      <c r="G315" s="31" t="s">
        <v>813</v>
      </c>
      <c r="H315" s="83" t="s">
        <v>47</v>
      </c>
      <c r="I315" s="65">
        <v>20</v>
      </c>
      <c r="J315" s="69" t="s">
        <v>0</v>
      </c>
      <c r="K315" s="77">
        <v>1848</v>
      </c>
      <c r="L315" s="66">
        <f t="shared" si="131"/>
        <v>36960</v>
      </c>
      <c r="M315" s="5">
        <f t="shared" si="132"/>
        <v>1454556.9500000002</v>
      </c>
      <c r="N315" s="86" t="s">
        <v>992</v>
      </c>
      <c r="O315" s="64">
        <f>1+7+2+2+5+2+1</f>
        <v>20</v>
      </c>
      <c r="P315" s="67">
        <f t="shared" si="141"/>
        <v>0</v>
      </c>
      <c r="Q315" s="68" t="s">
        <v>993</v>
      </c>
      <c r="R315" s="68"/>
    </row>
    <row r="316" spans="1:18" ht="29" x14ac:dyDescent="0.35">
      <c r="A316" s="70">
        <v>44719</v>
      </c>
      <c r="B316" s="51">
        <f t="shared" si="139"/>
        <v>6</v>
      </c>
      <c r="C316" s="11">
        <f t="shared" si="140"/>
        <v>2022</v>
      </c>
      <c r="D316" s="97" t="s">
        <v>927</v>
      </c>
      <c r="E316" s="65" t="s">
        <v>686</v>
      </c>
      <c r="F316" s="80" t="s">
        <v>928</v>
      </c>
      <c r="G316" s="31" t="s">
        <v>928</v>
      </c>
      <c r="H316" s="83" t="s">
        <v>51</v>
      </c>
      <c r="I316" s="65">
        <v>1</v>
      </c>
      <c r="J316" s="69" t="s">
        <v>1</v>
      </c>
      <c r="K316" s="77">
        <v>258</v>
      </c>
      <c r="L316" s="66">
        <f t="shared" si="131"/>
        <v>258</v>
      </c>
      <c r="M316" s="5">
        <f t="shared" si="132"/>
        <v>1454814.9500000002</v>
      </c>
      <c r="N316" s="86" t="s">
        <v>931</v>
      </c>
      <c r="O316" s="64">
        <v>1</v>
      </c>
      <c r="P316" s="67">
        <f t="shared" si="141"/>
        <v>0</v>
      </c>
      <c r="Q316" s="68" t="s">
        <v>932</v>
      </c>
      <c r="R316" s="68"/>
    </row>
    <row r="317" spans="1:18" x14ac:dyDescent="0.35">
      <c r="A317" s="70">
        <v>44721</v>
      </c>
      <c r="B317" s="51">
        <f t="shared" si="139"/>
        <v>6</v>
      </c>
      <c r="C317" s="11">
        <f t="shared" si="140"/>
        <v>2022</v>
      </c>
      <c r="D317" s="97" t="s">
        <v>937</v>
      </c>
      <c r="E317" s="65" t="s">
        <v>362</v>
      </c>
      <c r="F317" s="80" t="s">
        <v>675</v>
      </c>
      <c r="G317" s="31" t="s">
        <v>675</v>
      </c>
      <c r="H317" s="83" t="s">
        <v>51</v>
      </c>
      <c r="I317" s="65">
        <v>1</v>
      </c>
      <c r="J317" s="69" t="s">
        <v>18</v>
      </c>
      <c r="K317" s="77">
        <v>370</v>
      </c>
      <c r="L317" s="66">
        <f t="shared" si="131"/>
        <v>370</v>
      </c>
      <c r="M317" s="5">
        <f t="shared" si="132"/>
        <v>1455184.9500000002</v>
      </c>
      <c r="N317" s="86" t="s">
        <v>935</v>
      </c>
      <c r="O317" s="64">
        <v>1</v>
      </c>
      <c r="P317" s="67">
        <f t="shared" si="141"/>
        <v>0</v>
      </c>
      <c r="Q317" s="68" t="s">
        <v>936</v>
      </c>
      <c r="R317" s="68"/>
    </row>
    <row r="318" spans="1:18" ht="72.5" x14ac:dyDescent="0.35">
      <c r="A318" s="70">
        <v>44726</v>
      </c>
      <c r="B318" s="51">
        <f t="shared" si="139"/>
        <v>6</v>
      </c>
      <c r="C318" s="11">
        <f t="shared" si="140"/>
        <v>2022</v>
      </c>
      <c r="D318" s="97" t="s">
        <v>929</v>
      </c>
      <c r="E318" s="65" t="s">
        <v>686</v>
      </c>
      <c r="F318" s="80" t="s">
        <v>729</v>
      </c>
      <c r="G318" s="31" t="s">
        <v>729</v>
      </c>
      <c r="H318" s="83" t="s">
        <v>47</v>
      </c>
      <c r="I318" s="65">
        <v>20</v>
      </c>
      <c r="J318" s="69" t="s">
        <v>1</v>
      </c>
      <c r="K318" s="77">
        <v>273</v>
      </c>
      <c r="L318" s="66">
        <f t="shared" si="131"/>
        <v>5460</v>
      </c>
      <c r="M318" s="5">
        <f t="shared" si="132"/>
        <v>1460644.9500000002</v>
      </c>
      <c r="N318" s="86" t="s">
        <v>952</v>
      </c>
      <c r="O318" s="64">
        <f>4+2+3+3+8</f>
        <v>20</v>
      </c>
      <c r="P318" s="67">
        <f t="shared" si="141"/>
        <v>0</v>
      </c>
      <c r="Q318" s="68" t="s">
        <v>953</v>
      </c>
      <c r="R318" s="68"/>
    </row>
    <row r="319" spans="1:18" ht="58" x14ac:dyDescent="0.35">
      <c r="A319" s="70">
        <v>44729</v>
      </c>
      <c r="B319" s="51">
        <f t="shared" si="139"/>
        <v>6</v>
      </c>
      <c r="C319" s="11">
        <f t="shared" si="140"/>
        <v>2022</v>
      </c>
      <c r="D319" s="97" t="s">
        <v>930</v>
      </c>
      <c r="E319" s="65" t="s">
        <v>10</v>
      </c>
      <c r="F319" s="80" t="s">
        <v>729</v>
      </c>
      <c r="G319" s="31" t="s">
        <v>729</v>
      </c>
      <c r="H319" s="83" t="s">
        <v>47</v>
      </c>
      <c r="I319" s="65">
        <v>20</v>
      </c>
      <c r="J319" s="69" t="s">
        <v>1</v>
      </c>
      <c r="K319" s="77">
        <v>270</v>
      </c>
      <c r="L319" s="66">
        <f t="shared" si="131"/>
        <v>5400</v>
      </c>
      <c r="M319" s="5">
        <f t="shared" si="132"/>
        <v>1466044.9500000002</v>
      </c>
      <c r="N319" s="86" t="s">
        <v>971</v>
      </c>
      <c r="O319" s="64">
        <f>2+9+8+1</f>
        <v>20</v>
      </c>
      <c r="P319" s="67">
        <f t="shared" si="141"/>
        <v>0</v>
      </c>
      <c r="Q319" s="68" t="s">
        <v>972</v>
      </c>
      <c r="R319" s="68"/>
    </row>
    <row r="320" spans="1:18" x14ac:dyDescent="0.35">
      <c r="A320" s="70">
        <v>44741</v>
      </c>
      <c r="B320" s="51">
        <f t="shared" ref="B320:B335" si="142">MONTH(A320)</f>
        <v>6</v>
      </c>
      <c r="C320" s="11">
        <f t="shared" ref="C320:C335" si="143">YEAR(A320)</f>
        <v>2022</v>
      </c>
      <c r="D320" s="97" t="s">
        <v>938</v>
      </c>
      <c r="E320" s="65" t="s">
        <v>362</v>
      </c>
      <c r="F320" s="80" t="s">
        <v>675</v>
      </c>
      <c r="G320" s="31" t="s">
        <v>675</v>
      </c>
      <c r="H320" s="83" t="s">
        <v>51</v>
      </c>
      <c r="I320" s="65">
        <v>1</v>
      </c>
      <c r="J320" s="69" t="s">
        <v>18</v>
      </c>
      <c r="K320" s="77">
        <v>370</v>
      </c>
      <c r="L320" s="66">
        <f t="shared" si="131"/>
        <v>370</v>
      </c>
      <c r="M320" s="5">
        <f t="shared" si="132"/>
        <v>1466414.9500000002</v>
      </c>
      <c r="N320" s="86" t="s">
        <v>951</v>
      </c>
      <c r="O320" s="64">
        <v>1</v>
      </c>
      <c r="P320" s="67">
        <f t="shared" si="141"/>
        <v>0</v>
      </c>
      <c r="Q320" s="68" t="s">
        <v>954</v>
      </c>
      <c r="R320" s="68"/>
    </row>
    <row r="321" spans="1:18" ht="116" x14ac:dyDescent="0.35">
      <c r="A321" s="70">
        <v>44743</v>
      </c>
      <c r="B321" s="51">
        <f t="shared" si="142"/>
        <v>7</v>
      </c>
      <c r="C321" s="11">
        <f t="shared" si="143"/>
        <v>2022</v>
      </c>
      <c r="D321" s="97"/>
      <c r="E321" s="65" t="s">
        <v>10</v>
      </c>
      <c r="F321" s="80" t="s">
        <v>28</v>
      </c>
      <c r="G321" s="31" t="s">
        <v>28</v>
      </c>
      <c r="H321" s="83" t="s">
        <v>47</v>
      </c>
      <c r="I321" s="65">
        <v>40</v>
      </c>
      <c r="J321" s="69" t="s">
        <v>217</v>
      </c>
      <c r="K321" s="77">
        <v>32.5</v>
      </c>
      <c r="L321" s="66">
        <f t="shared" si="131"/>
        <v>1300</v>
      </c>
      <c r="M321" s="5">
        <f t="shared" si="132"/>
        <v>1467714.9500000002</v>
      </c>
      <c r="N321" s="86" t="s">
        <v>1031</v>
      </c>
      <c r="O321" s="64">
        <f>2+10+4+3+4+4+4+5+4</f>
        <v>40</v>
      </c>
      <c r="P321" s="67">
        <f t="shared" si="141"/>
        <v>0</v>
      </c>
      <c r="Q321" s="68" t="s">
        <v>1032</v>
      </c>
      <c r="R321" s="68"/>
    </row>
    <row r="322" spans="1:18" ht="58" x14ac:dyDescent="0.35">
      <c r="A322" s="70">
        <v>44743</v>
      </c>
      <c r="B322" s="51">
        <f t="shared" si="142"/>
        <v>7</v>
      </c>
      <c r="C322" s="11">
        <f t="shared" si="143"/>
        <v>2022</v>
      </c>
      <c r="D322" s="97"/>
      <c r="E322" s="65" t="s">
        <v>10</v>
      </c>
      <c r="F322" s="80" t="s">
        <v>614</v>
      </c>
      <c r="G322" s="31" t="s">
        <v>614</v>
      </c>
      <c r="H322" s="83" t="s">
        <v>47</v>
      </c>
      <c r="I322" s="65">
        <v>20</v>
      </c>
      <c r="J322" s="69" t="s">
        <v>1</v>
      </c>
      <c r="K322" s="77">
        <v>264</v>
      </c>
      <c r="L322" s="66">
        <f t="shared" si="131"/>
        <v>5280</v>
      </c>
      <c r="M322" s="5">
        <f t="shared" si="132"/>
        <v>1472994.9500000002</v>
      </c>
      <c r="N322" s="86" t="s">
        <v>994</v>
      </c>
      <c r="O322" s="64">
        <f>1+6+10+3</f>
        <v>20</v>
      </c>
      <c r="P322" s="67">
        <f t="shared" si="141"/>
        <v>0</v>
      </c>
      <c r="Q322" s="68" t="s">
        <v>995</v>
      </c>
      <c r="R322" s="68"/>
    </row>
    <row r="323" spans="1:18" ht="101.5" x14ac:dyDescent="0.35">
      <c r="A323" s="70">
        <v>44743</v>
      </c>
      <c r="B323" s="51">
        <f t="shared" si="142"/>
        <v>7</v>
      </c>
      <c r="C323" s="11">
        <f t="shared" si="143"/>
        <v>2022</v>
      </c>
      <c r="D323" s="97"/>
      <c r="E323" s="65" t="s">
        <v>686</v>
      </c>
      <c r="F323" s="80" t="s">
        <v>955</v>
      </c>
      <c r="G323" s="80" t="s">
        <v>955</v>
      </c>
      <c r="H323" s="83" t="s">
        <v>51</v>
      </c>
      <c r="I323" s="65">
        <v>16</v>
      </c>
      <c r="J323" s="69" t="s">
        <v>25</v>
      </c>
      <c r="K323" s="77">
        <v>96</v>
      </c>
      <c r="L323" s="66">
        <f t="shared" si="131"/>
        <v>1536</v>
      </c>
      <c r="M323" s="5">
        <f t="shared" si="132"/>
        <v>1474530.9500000002</v>
      </c>
      <c r="N323" s="86" t="s">
        <v>1189</v>
      </c>
      <c r="O323" s="64">
        <f>6+1+1+4+1+1+2</f>
        <v>16</v>
      </c>
      <c r="P323" s="67">
        <f t="shared" si="141"/>
        <v>0</v>
      </c>
      <c r="Q323" s="68" t="s">
        <v>1190</v>
      </c>
      <c r="R323" s="68"/>
    </row>
    <row r="324" spans="1:18" ht="116" x14ac:dyDescent="0.35">
      <c r="A324" s="70">
        <v>44748</v>
      </c>
      <c r="B324" s="51">
        <f t="shared" si="142"/>
        <v>7</v>
      </c>
      <c r="C324" s="11">
        <f t="shared" si="143"/>
        <v>2022</v>
      </c>
      <c r="D324" s="97"/>
      <c r="E324" s="65" t="s">
        <v>686</v>
      </c>
      <c r="F324" s="80" t="s">
        <v>925</v>
      </c>
      <c r="G324" s="80" t="s">
        <v>925</v>
      </c>
      <c r="H324" s="83" t="s">
        <v>47</v>
      </c>
      <c r="I324" s="65">
        <v>15</v>
      </c>
      <c r="J324" s="69" t="s">
        <v>0</v>
      </c>
      <c r="K324" s="77">
        <v>1826</v>
      </c>
      <c r="L324" s="66">
        <f t="shared" si="131"/>
        <v>27390</v>
      </c>
      <c r="M324" s="5">
        <f t="shared" si="132"/>
        <v>1501920.9500000002</v>
      </c>
      <c r="N324" s="86" t="s">
        <v>1009</v>
      </c>
      <c r="O324" s="64">
        <f>2+1+3+1+1+3+1+2+1</f>
        <v>15</v>
      </c>
      <c r="P324" s="67">
        <f t="shared" si="141"/>
        <v>0</v>
      </c>
      <c r="Q324" s="68" t="s">
        <v>1010</v>
      </c>
      <c r="R324" s="68"/>
    </row>
    <row r="325" spans="1:18" ht="58" x14ac:dyDescent="0.35">
      <c r="A325" s="70">
        <v>44748</v>
      </c>
      <c r="B325" s="51">
        <f t="shared" si="142"/>
        <v>7</v>
      </c>
      <c r="C325" s="11">
        <f t="shared" si="143"/>
        <v>2022</v>
      </c>
      <c r="D325" s="97"/>
      <c r="E325" s="65" t="s">
        <v>686</v>
      </c>
      <c r="F325" s="80" t="s">
        <v>813</v>
      </c>
      <c r="G325" s="80" t="s">
        <v>813</v>
      </c>
      <c r="H325" s="83" t="s">
        <v>47</v>
      </c>
      <c r="I325" s="65">
        <v>15</v>
      </c>
      <c r="J325" s="69" t="s">
        <v>0</v>
      </c>
      <c r="K325" s="77">
        <v>1826</v>
      </c>
      <c r="L325" s="66">
        <f t="shared" si="131"/>
        <v>27390</v>
      </c>
      <c r="M325" s="5">
        <f t="shared" si="132"/>
        <v>1529310.9500000002</v>
      </c>
      <c r="N325" s="86" t="s">
        <v>1011</v>
      </c>
      <c r="O325" s="64">
        <f>5+2+6+2</f>
        <v>15</v>
      </c>
      <c r="P325" s="67">
        <f t="shared" si="141"/>
        <v>0</v>
      </c>
      <c r="Q325" s="68" t="s">
        <v>1012</v>
      </c>
      <c r="R325" s="68"/>
    </row>
    <row r="326" spans="1:18" ht="29" x14ac:dyDescent="0.35">
      <c r="A326" s="70">
        <v>44756</v>
      </c>
      <c r="B326" s="51">
        <f t="shared" ref="B326" si="144">MONTH(A326)</f>
        <v>7</v>
      </c>
      <c r="C326" s="11">
        <f t="shared" ref="C326" si="145">YEAR(A326)</f>
        <v>2022</v>
      </c>
      <c r="D326" s="97"/>
      <c r="E326" s="65" t="s">
        <v>158</v>
      </c>
      <c r="F326" s="80" t="s">
        <v>962</v>
      </c>
      <c r="G326" s="80" t="s">
        <v>962</v>
      </c>
      <c r="H326" s="83" t="s">
        <v>51</v>
      </c>
      <c r="I326" s="65">
        <v>1</v>
      </c>
      <c r="J326" s="69" t="s">
        <v>125</v>
      </c>
      <c r="K326" s="77">
        <v>115</v>
      </c>
      <c r="L326" s="66">
        <f t="shared" si="131"/>
        <v>115</v>
      </c>
      <c r="M326" s="5">
        <f t="shared" si="132"/>
        <v>1529425.9500000002</v>
      </c>
      <c r="N326" s="78" t="s">
        <v>963</v>
      </c>
      <c r="O326" s="64">
        <v>1</v>
      </c>
      <c r="P326" s="67">
        <f t="shared" si="141"/>
        <v>0</v>
      </c>
      <c r="Q326" s="68" t="s">
        <v>964</v>
      </c>
      <c r="R326" s="68"/>
    </row>
    <row r="327" spans="1:18" ht="14.5" customHeight="1" x14ac:dyDescent="0.35">
      <c r="A327" s="70">
        <v>44756</v>
      </c>
      <c r="B327" s="51">
        <f t="shared" si="142"/>
        <v>7</v>
      </c>
      <c r="C327" s="11">
        <f t="shared" si="143"/>
        <v>2022</v>
      </c>
      <c r="D327" s="97"/>
      <c r="E327" s="65" t="s">
        <v>686</v>
      </c>
      <c r="F327" s="80" t="s">
        <v>956</v>
      </c>
      <c r="G327" s="80" t="s">
        <v>956</v>
      </c>
      <c r="H327" s="83" t="s">
        <v>51</v>
      </c>
      <c r="I327" s="65">
        <v>1</v>
      </c>
      <c r="J327" s="69" t="s">
        <v>25</v>
      </c>
      <c r="K327" s="77">
        <v>80</v>
      </c>
      <c r="L327" s="66">
        <f t="shared" si="131"/>
        <v>80</v>
      </c>
      <c r="M327" s="5">
        <f t="shared" si="132"/>
        <v>1529505.9500000002</v>
      </c>
      <c r="N327" s="78" t="s">
        <v>963</v>
      </c>
      <c r="O327" s="64">
        <v>1</v>
      </c>
      <c r="P327" s="67">
        <f t="shared" si="141"/>
        <v>0</v>
      </c>
      <c r="Q327" s="68" t="s">
        <v>964</v>
      </c>
      <c r="R327" s="68"/>
    </row>
    <row r="328" spans="1:18" ht="29" x14ac:dyDescent="0.35">
      <c r="A328" s="70">
        <v>44756</v>
      </c>
      <c r="B328" s="51">
        <f t="shared" si="142"/>
        <v>7</v>
      </c>
      <c r="C328" s="11">
        <f t="shared" si="143"/>
        <v>2022</v>
      </c>
      <c r="D328" s="97"/>
      <c r="E328" s="65" t="s">
        <v>686</v>
      </c>
      <c r="F328" s="80" t="s">
        <v>957</v>
      </c>
      <c r="G328" s="80" t="s">
        <v>957</v>
      </c>
      <c r="H328" s="83" t="s">
        <v>51</v>
      </c>
      <c r="I328" s="65">
        <v>12</v>
      </c>
      <c r="J328" s="69" t="s">
        <v>125</v>
      </c>
      <c r="K328" s="77">
        <v>40</v>
      </c>
      <c r="L328" s="66">
        <f t="shared" si="131"/>
        <v>480</v>
      </c>
      <c r="M328" s="5">
        <f t="shared" si="132"/>
        <v>1529985.9500000002</v>
      </c>
      <c r="N328" s="78" t="s">
        <v>963</v>
      </c>
      <c r="O328" s="64">
        <v>12</v>
      </c>
      <c r="P328" s="67">
        <f t="shared" si="141"/>
        <v>0</v>
      </c>
      <c r="Q328" s="68" t="s">
        <v>965</v>
      </c>
      <c r="R328" s="68"/>
    </row>
    <row r="329" spans="1:18" ht="29" x14ac:dyDescent="0.35">
      <c r="A329" s="70">
        <v>44756</v>
      </c>
      <c r="B329" s="51">
        <f t="shared" si="142"/>
        <v>7</v>
      </c>
      <c r="C329" s="11">
        <f t="shared" si="143"/>
        <v>2022</v>
      </c>
      <c r="D329" s="97"/>
      <c r="E329" s="65" t="s">
        <v>686</v>
      </c>
      <c r="F329" s="80" t="s">
        <v>958</v>
      </c>
      <c r="G329" s="80" t="s">
        <v>958</v>
      </c>
      <c r="H329" s="83" t="s">
        <v>51</v>
      </c>
      <c r="I329" s="65">
        <v>1</v>
      </c>
      <c r="J329" s="69" t="s">
        <v>125</v>
      </c>
      <c r="K329" s="77">
        <v>115</v>
      </c>
      <c r="L329" s="66">
        <f t="shared" si="131"/>
        <v>115</v>
      </c>
      <c r="M329" s="5">
        <f t="shared" si="132"/>
        <v>1530100.9500000002</v>
      </c>
      <c r="N329" s="78" t="s">
        <v>963</v>
      </c>
      <c r="O329" s="64">
        <v>1</v>
      </c>
      <c r="P329" s="67">
        <f t="shared" si="141"/>
        <v>0</v>
      </c>
      <c r="Q329" s="68" t="s">
        <v>964</v>
      </c>
      <c r="R329" s="68"/>
    </row>
    <row r="330" spans="1:18" ht="29" x14ac:dyDescent="0.35">
      <c r="A330" s="70">
        <v>44756</v>
      </c>
      <c r="B330" s="51">
        <f t="shared" si="142"/>
        <v>7</v>
      </c>
      <c r="C330" s="11">
        <f t="shared" si="143"/>
        <v>2022</v>
      </c>
      <c r="D330" s="97"/>
      <c r="E330" s="65" t="s">
        <v>686</v>
      </c>
      <c r="F330" s="80" t="s">
        <v>842</v>
      </c>
      <c r="G330" s="80" t="s">
        <v>842</v>
      </c>
      <c r="H330" s="83" t="s">
        <v>51</v>
      </c>
      <c r="I330" s="65">
        <v>6</v>
      </c>
      <c r="J330" s="69" t="s">
        <v>18</v>
      </c>
      <c r="K330" s="77">
        <v>240</v>
      </c>
      <c r="L330" s="66">
        <f t="shared" si="131"/>
        <v>1440</v>
      </c>
      <c r="M330" s="5">
        <f t="shared" si="132"/>
        <v>1531540.9500000002</v>
      </c>
      <c r="N330" s="78" t="s">
        <v>963</v>
      </c>
      <c r="O330" s="64">
        <v>6</v>
      </c>
      <c r="P330" s="67">
        <f t="shared" si="141"/>
        <v>0</v>
      </c>
      <c r="Q330" s="68" t="s">
        <v>966</v>
      </c>
      <c r="R330" s="68"/>
    </row>
    <row r="331" spans="1:18" ht="87" x14ac:dyDescent="0.35">
      <c r="A331" s="70">
        <v>44760</v>
      </c>
      <c r="B331" s="51">
        <f t="shared" si="142"/>
        <v>7</v>
      </c>
      <c r="C331" s="11">
        <f t="shared" si="143"/>
        <v>2022</v>
      </c>
      <c r="D331" s="97" t="s">
        <v>991</v>
      </c>
      <c r="E331" s="65" t="s">
        <v>429</v>
      </c>
      <c r="F331" s="80" t="s">
        <v>862</v>
      </c>
      <c r="G331" s="31" t="s">
        <v>862</v>
      </c>
      <c r="H331" s="83" t="s">
        <v>51</v>
      </c>
      <c r="I331" s="65">
        <v>20</v>
      </c>
      <c r="J331" s="69" t="s">
        <v>1</v>
      </c>
      <c r="K331" s="77">
        <v>208</v>
      </c>
      <c r="L331" s="66">
        <f t="shared" si="131"/>
        <v>4160</v>
      </c>
      <c r="M331" s="5">
        <f t="shared" si="132"/>
        <v>1535700.9500000002</v>
      </c>
      <c r="N331" s="86" t="s">
        <v>1018</v>
      </c>
      <c r="O331" s="64">
        <f>4+2+2+3+1+3+4+1</f>
        <v>20</v>
      </c>
      <c r="P331" s="67">
        <f t="shared" si="141"/>
        <v>0</v>
      </c>
      <c r="Q331" s="68" t="s">
        <v>1019</v>
      </c>
      <c r="R331" s="68"/>
    </row>
    <row r="332" spans="1:18" ht="72.5" x14ac:dyDescent="0.35">
      <c r="A332" s="70">
        <v>44769</v>
      </c>
      <c r="B332" s="51">
        <f t="shared" si="142"/>
        <v>7</v>
      </c>
      <c r="C332" s="11">
        <f t="shared" si="143"/>
        <v>2022</v>
      </c>
      <c r="D332" s="97"/>
      <c r="E332" s="65" t="s">
        <v>10</v>
      </c>
      <c r="F332" s="80" t="s">
        <v>975</v>
      </c>
      <c r="G332" s="80" t="s">
        <v>975</v>
      </c>
      <c r="H332" s="83" t="s">
        <v>47</v>
      </c>
      <c r="I332" s="65">
        <v>20</v>
      </c>
      <c r="J332" s="69" t="s">
        <v>1</v>
      </c>
      <c r="K332" s="77">
        <v>299.7</v>
      </c>
      <c r="L332" s="66">
        <f t="shared" si="131"/>
        <v>5994</v>
      </c>
      <c r="M332" s="5">
        <f t="shared" si="132"/>
        <v>1541694.9500000002</v>
      </c>
      <c r="N332" s="86" t="s">
        <v>1038</v>
      </c>
      <c r="O332" s="64">
        <f>6+3+5+4+2</f>
        <v>20</v>
      </c>
      <c r="P332" s="67">
        <f t="shared" si="141"/>
        <v>0</v>
      </c>
      <c r="Q332" s="68" t="s">
        <v>1037</v>
      </c>
      <c r="R332" s="68"/>
    </row>
    <row r="333" spans="1:18" ht="43.5" x14ac:dyDescent="0.35">
      <c r="A333" s="70">
        <v>44770</v>
      </c>
      <c r="B333" s="51">
        <f t="shared" si="142"/>
        <v>7</v>
      </c>
      <c r="C333" s="11">
        <f t="shared" si="143"/>
        <v>2022</v>
      </c>
      <c r="D333" s="97"/>
      <c r="E333" s="65" t="s">
        <v>686</v>
      </c>
      <c r="F333" s="95" t="s">
        <v>959</v>
      </c>
      <c r="G333" s="95" t="s">
        <v>959</v>
      </c>
      <c r="H333" s="83" t="s">
        <v>51</v>
      </c>
      <c r="I333" s="65">
        <v>6</v>
      </c>
      <c r="J333" s="69" t="s">
        <v>1</v>
      </c>
      <c r="K333" s="77">
        <v>589.6</v>
      </c>
      <c r="L333" s="66">
        <f t="shared" si="131"/>
        <v>3537.6000000000004</v>
      </c>
      <c r="M333" s="5">
        <f t="shared" si="132"/>
        <v>1545232.5500000003</v>
      </c>
      <c r="N333" s="86" t="s">
        <v>1020</v>
      </c>
      <c r="O333" s="64">
        <f>1+2+3</f>
        <v>6</v>
      </c>
      <c r="P333" s="67">
        <f t="shared" si="141"/>
        <v>0</v>
      </c>
      <c r="Q333" s="68" t="s">
        <v>1021</v>
      </c>
      <c r="R333" s="68"/>
    </row>
    <row r="334" spans="1:18" ht="29" x14ac:dyDescent="0.35">
      <c r="A334" s="70">
        <v>44770</v>
      </c>
      <c r="B334" s="51">
        <f t="shared" si="142"/>
        <v>7</v>
      </c>
      <c r="C334" s="11">
        <f t="shared" si="143"/>
        <v>2022</v>
      </c>
      <c r="D334" s="97"/>
      <c r="E334" s="65" t="s">
        <v>686</v>
      </c>
      <c r="F334" s="80" t="s">
        <v>981</v>
      </c>
      <c r="G334" s="80" t="s">
        <v>981</v>
      </c>
      <c r="H334" s="83" t="s">
        <v>51</v>
      </c>
      <c r="I334" s="65">
        <v>2</v>
      </c>
      <c r="J334" s="69" t="s">
        <v>217</v>
      </c>
      <c r="K334" s="77">
        <v>360</v>
      </c>
      <c r="L334" s="66">
        <f t="shared" si="131"/>
        <v>720</v>
      </c>
      <c r="M334" s="5">
        <f t="shared" si="132"/>
        <v>1545952.5500000003</v>
      </c>
      <c r="N334" s="86" t="s">
        <v>1035</v>
      </c>
      <c r="O334" s="64">
        <f>1+1</f>
        <v>2</v>
      </c>
      <c r="P334" s="67">
        <f t="shared" si="141"/>
        <v>0</v>
      </c>
      <c r="Q334" s="68" t="s">
        <v>1036</v>
      </c>
      <c r="R334" s="68"/>
    </row>
    <row r="335" spans="1:18" ht="43.5" x14ac:dyDescent="0.35">
      <c r="A335" s="70">
        <v>44770</v>
      </c>
      <c r="B335" s="51">
        <f t="shared" si="142"/>
        <v>7</v>
      </c>
      <c r="C335" s="11">
        <f t="shared" si="143"/>
        <v>2022</v>
      </c>
      <c r="D335" s="97"/>
      <c r="E335" s="65" t="s">
        <v>686</v>
      </c>
      <c r="F335" s="80" t="s">
        <v>765</v>
      </c>
      <c r="G335" s="80" t="s">
        <v>765</v>
      </c>
      <c r="H335" s="83" t="s">
        <v>51</v>
      </c>
      <c r="I335" s="65">
        <v>4</v>
      </c>
      <c r="J335" s="69" t="s">
        <v>18</v>
      </c>
      <c r="K335" s="77">
        <v>650</v>
      </c>
      <c r="L335" s="66">
        <f t="shared" si="131"/>
        <v>2600</v>
      </c>
      <c r="M335" s="5">
        <f t="shared" si="132"/>
        <v>1548552.5500000003</v>
      </c>
      <c r="N335" s="86" t="s">
        <v>1072</v>
      </c>
      <c r="O335" s="64">
        <f>1+1+2</f>
        <v>4</v>
      </c>
      <c r="P335" s="67">
        <f t="shared" si="141"/>
        <v>0</v>
      </c>
      <c r="Q335" s="68" t="s">
        <v>1073</v>
      </c>
      <c r="R335" s="68"/>
    </row>
    <row r="336" spans="1:18" x14ac:dyDescent="0.35">
      <c r="A336" s="70">
        <v>44776</v>
      </c>
      <c r="B336" s="51">
        <f>MONTH(A336)</f>
        <v>8</v>
      </c>
      <c r="C336" s="11">
        <f>YEAR(A336)</f>
        <v>2022</v>
      </c>
      <c r="D336" s="97"/>
      <c r="E336" s="65" t="s">
        <v>686</v>
      </c>
      <c r="F336" s="80" t="s">
        <v>748</v>
      </c>
      <c r="G336" s="80" t="s">
        <v>748</v>
      </c>
      <c r="H336" s="83" t="s">
        <v>51</v>
      </c>
      <c r="I336" s="65">
        <v>1</v>
      </c>
      <c r="J336" s="69" t="s">
        <v>0</v>
      </c>
      <c r="K336" s="77">
        <v>896.5</v>
      </c>
      <c r="L336" s="66">
        <f t="shared" si="131"/>
        <v>896.5</v>
      </c>
      <c r="M336" s="5">
        <f t="shared" si="132"/>
        <v>1549449.0500000003</v>
      </c>
      <c r="N336" s="78" t="s">
        <v>984</v>
      </c>
      <c r="O336" s="64">
        <v>1</v>
      </c>
      <c r="P336" s="67">
        <f t="shared" si="141"/>
        <v>0</v>
      </c>
      <c r="Q336" s="68" t="s">
        <v>985</v>
      </c>
      <c r="R336" s="68"/>
    </row>
    <row r="337" spans="1:18" ht="29" x14ac:dyDescent="0.35">
      <c r="A337" s="70">
        <v>44776</v>
      </c>
      <c r="B337" s="51">
        <f>MONTH(A337)</f>
        <v>8</v>
      </c>
      <c r="C337" s="11">
        <f>YEAR(A337)</f>
        <v>2022</v>
      </c>
      <c r="D337" s="97"/>
      <c r="E337" s="65" t="s">
        <v>686</v>
      </c>
      <c r="F337" s="80" t="s">
        <v>958</v>
      </c>
      <c r="G337" s="80" t="s">
        <v>958</v>
      </c>
      <c r="H337" s="83" t="s">
        <v>51</v>
      </c>
      <c r="I337" s="65">
        <v>4</v>
      </c>
      <c r="J337" s="69" t="s">
        <v>125</v>
      </c>
      <c r="K337" s="77">
        <v>115</v>
      </c>
      <c r="L337" s="66">
        <f t="shared" si="131"/>
        <v>460</v>
      </c>
      <c r="M337" s="5">
        <f t="shared" si="132"/>
        <v>1549909.0500000003</v>
      </c>
      <c r="N337" s="78" t="s">
        <v>982</v>
      </c>
      <c r="O337" s="64">
        <v>4</v>
      </c>
      <c r="P337" s="67">
        <f t="shared" si="141"/>
        <v>0</v>
      </c>
      <c r="Q337" s="68" t="s">
        <v>983</v>
      </c>
      <c r="R337" s="68"/>
    </row>
    <row r="338" spans="1:18" ht="29" x14ac:dyDescent="0.35">
      <c r="A338" s="70">
        <v>44776</v>
      </c>
      <c r="B338" s="51">
        <f t="shared" ref="B338:B340" si="146">MONTH(A338)</f>
        <v>8</v>
      </c>
      <c r="C338" s="11">
        <f t="shared" ref="C338:C340" si="147">YEAR(A338)</f>
        <v>2022</v>
      </c>
      <c r="D338" s="97"/>
      <c r="E338" s="65" t="s">
        <v>686</v>
      </c>
      <c r="F338" s="80" t="s">
        <v>842</v>
      </c>
      <c r="G338" s="80" t="s">
        <v>842</v>
      </c>
      <c r="H338" s="83" t="s">
        <v>51</v>
      </c>
      <c r="I338" s="65">
        <v>6</v>
      </c>
      <c r="J338" s="69" t="s">
        <v>18</v>
      </c>
      <c r="K338" s="77">
        <v>234</v>
      </c>
      <c r="L338" s="66">
        <f t="shared" si="131"/>
        <v>1404</v>
      </c>
      <c r="M338" s="5">
        <f t="shared" si="132"/>
        <v>1551313.0500000003</v>
      </c>
      <c r="N338" s="78" t="s">
        <v>984</v>
      </c>
      <c r="O338" s="64">
        <f>6</f>
        <v>6</v>
      </c>
      <c r="P338" s="67">
        <f t="shared" si="141"/>
        <v>0</v>
      </c>
      <c r="Q338" s="68" t="s">
        <v>988</v>
      </c>
      <c r="R338" s="68"/>
    </row>
    <row r="339" spans="1:18" ht="29" x14ac:dyDescent="0.35">
      <c r="A339" s="70">
        <v>44778</v>
      </c>
      <c r="B339" s="51">
        <f t="shared" si="146"/>
        <v>8</v>
      </c>
      <c r="C339" s="11">
        <f t="shared" si="147"/>
        <v>2022</v>
      </c>
      <c r="D339" s="97"/>
      <c r="E339" s="65" t="s">
        <v>686</v>
      </c>
      <c r="F339" s="80" t="s">
        <v>928</v>
      </c>
      <c r="G339" s="80" t="s">
        <v>928</v>
      </c>
      <c r="H339" s="83" t="s">
        <v>51</v>
      </c>
      <c r="I339" s="65">
        <v>3</v>
      </c>
      <c r="J339" s="69" t="s">
        <v>1</v>
      </c>
      <c r="K339" s="77">
        <v>256</v>
      </c>
      <c r="L339" s="66">
        <f t="shared" si="131"/>
        <v>768</v>
      </c>
      <c r="M339" s="5">
        <f t="shared" si="132"/>
        <v>1552081.0500000003</v>
      </c>
      <c r="N339" s="78" t="s">
        <v>989</v>
      </c>
      <c r="O339" s="64">
        <v>3</v>
      </c>
      <c r="P339" s="67">
        <f t="shared" si="141"/>
        <v>0</v>
      </c>
      <c r="Q339" s="68" t="s">
        <v>990</v>
      </c>
      <c r="R339" s="68"/>
    </row>
    <row r="340" spans="1:18" ht="159.5" x14ac:dyDescent="0.35">
      <c r="A340" s="70">
        <v>44788</v>
      </c>
      <c r="B340" s="51">
        <f t="shared" si="146"/>
        <v>8</v>
      </c>
      <c r="C340" s="11">
        <f t="shared" si="147"/>
        <v>2022</v>
      </c>
      <c r="D340" s="97"/>
      <c r="E340" s="65" t="s">
        <v>686</v>
      </c>
      <c r="F340" s="80" t="s">
        <v>959</v>
      </c>
      <c r="G340" s="80" t="s">
        <v>959</v>
      </c>
      <c r="H340" s="83" t="s">
        <v>47</v>
      </c>
      <c r="I340" s="65">
        <v>32</v>
      </c>
      <c r="J340" s="69" t="s">
        <v>1</v>
      </c>
      <c r="K340" s="77">
        <v>556.1</v>
      </c>
      <c r="L340" s="66">
        <f t="shared" si="131"/>
        <v>17795.2</v>
      </c>
      <c r="M340" s="5">
        <f t="shared" si="132"/>
        <v>1569876.2500000002</v>
      </c>
      <c r="N340" s="86" t="s">
        <v>1081</v>
      </c>
      <c r="O340" s="64">
        <f>2+4+6+5+5+2+1+2+1+1+1+2</f>
        <v>32</v>
      </c>
      <c r="P340" s="67">
        <f t="shared" si="141"/>
        <v>0</v>
      </c>
      <c r="Q340" s="68" t="s">
        <v>1082</v>
      </c>
      <c r="R340" s="68"/>
    </row>
    <row r="341" spans="1:18" ht="43.5" x14ac:dyDescent="0.35">
      <c r="A341" s="70">
        <v>44788</v>
      </c>
      <c r="B341" s="51">
        <f t="shared" ref="B341" si="148">MONTH(A341)</f>
        <v>8</v>
      </c>
      <c r="C341" s="11">
        <f t="shared" ref="C341" si="149">YEAR(A341)</f>
        <v>2022</v>
      </c>
      <c r="D341" s="97"/>
      <c r="E341" s="65" t="s">
        <v>686</v>
      </c>
      <c r="F341" s="80" t="s">
        <v>959</v>
      </c>
      <c r="G341" s="80" t="s">
        <v>959</v>
      </c>
      <c r="H341" s="83" t="s">
        <v>51</v>
      </c>
      <c r="I341" s="65">
        <v>1</v>
      </c>
      <c r="J341" s="69" t="s">
        <v>1</v>
      </c>
      <c r="K341" s="77">
        <v>556.1</v>
      </c>
      <c r="L341" s="66">
        <f t="shared" si="131"/>
        <v>556.1</v>
      </c>
      <c r="M341" s="5">
        <f t="shared" si="132"/>
        <v>1570432.3500000003</v>
      </c>
      <c r="N341" s="86" t="s">
        <v>996</v>
      </c>
      <c r="O341" s="64">
        <v>1</v>
      </c>
      <c r="P341" s="67">
        <f t="shared" si="141"/>
        <v>0</v>
      </c>
      <c r="Q341" s="68" t="s">
        <v>997</v>
      </c>
      <c r="R341" s="68"/>
    </row>
    <row r="342" spans="1:18" ht="29" x14ac:dyDescent="0.35">
      <c r="A342" s="70">
        <v>44788</v>
      </c>
      <c r="B342" s="51">
        <f t="shared" ref="B342:B347" si="150">MONTH(A342)</f>
        <v>8</v>
      </c>
      <c r="C342" s="11">
        <f t="shared" ref="C342:C347" si="151">YEAR(A342)</f>
        <v>2022</v>
      </c>
      <c r="D342" s="97"/>
      <c r="E342" s="65" t="s">
        <v>686</v>
      </c>
      <c r="F342" s="80" t="s">
        <v>976</v>
      </c>
      <c r="G342" s="80" t="s">
        <v>976</v>
      </c>
      <c r="H342" s="83" t="s">
        <v>47</v>
      </c>
      <c r="I342" s="65">
        <v>1</v>
      </c>
      <c r="J342" s="69" t="s">
        <v>0</v>
      </c>
      <c r="K342" s="77">
        <v>1822.5</v>
      </c>
      <c r="L342" s="66">
        <f t="shared" si="131"/>
        <v>1822.5</v>
      </c>
      <c r="M342" s="5">
        <f t="shared" si="132"/>
        <v>1572254.8500000003</v>
      </c>
      <c r="N342" s="78" t="s">
        <v>996</v>
      </c>
      <c r="O342" s="64">
        <v>1</v>
      </c>
      <c r="P342" s="67">
        <f t="shared" si="141"/>
        <v>0</v>
      </c>
      <c r="Q342" s="68" t="s">
        <v>997</v>
      </c>
      <c r="R342" s="68"/>
    </row>
    <row r="343" spans="1:18" ht="14.5" customHeight="1" x14ac:dyDescent="0.35">
      <c r="A343" s="70">
        <v>44788</v>
      </c>
      <c r="B343" s="51">
        <f t="shared" si="150"/>
        <v>8</v>
      </c>
      <c r="C343" s="11">
        <f t="shared" si="151"/>
        <v>2022</v>
      </c>
      <c r="D343" s="97"/>
      <c r="E343" s="65" t="s">
        <v>686</v>
      </c>
      <c r="F343" s="80" t="s">
        <v>977</v>
      </c>
      <c r="G343" s="80" t="s">
        <v>977</v>
      </c>
      <c r="H343" s="83" t="s">
        <v>47</v>
      </c>
      <c r="I343" s="65">
        <v>1</v>
      </c>
      <c r="J343" s="69" t="s">
        <v>125</v>
      </c>
      <c r="K343" s="77">
        <v>240</v>
      </c>
      <c r="L343" s="66">
        <f t="shared" si="131"/>
        <v>240</v>
      </c>
      <c r="M343" s="5">
        <f t="shared" si="132"/>
        <v>1572494.8500000003</v>
      </c>
      <c r="N343" s="78" t="s">
        <v>996</v>
      </c>
      <c r="O343" s="64">
        <v>1</v>
      </c>
      <c r="P343" s="67">
        <f t="shared" si="141"/>
        <v>0</v>
      </c>
      <c r="Q343" s="68" t="s">
        <v>997</v>
      </c>
      <c r="R343" s="68"/>
    </row>
    <row r="344" spans="1:18" ht="29" x14ac:dyDescent="0.35">
      <c r="A344" s="70">
        <v>44795</v>
      </c>
      <c r="B344" s="51">
        <f t="shared" si="150"/>
        <v>8</v>
      </c>
      <c r="C344" s="11">
        <f t="shared" si="151"/>
        <v>2022</v>
      </c>
      <c r="D344" s="97"/>
      <c r="E344" s="65" t="s">
        <v>686</v>
      </c>
      <c r="F344" s="80" t="s">
        <v>958</v>
      </c>
      <c r="G344" s="80" t="s">
        <v>958</v>
      </c>
      <c r="H344" s="83" t="s">
        <v>51</v>
      </c>
      <c r="I344" s="65">
        <v>4</v>
      </c>
      <c r="J344" s="69" t="s">
        <v>978</v>
      </c>
      <c r="K344" s="77">
        <v>115</v>
      </c>
      <c r="L344" s="66">
        <f t="shared" si="131"/>
        <v>460</v>
      </c>
      <c r="M344" s="5">
        <f t="shared" si="132"/>
        <v>1572954.8500000003</v>
      </c>
      <c r="N344" s="78" t="s">
        <v>1004</v>
      </c>
      <c r="O344" s="64">
        <v>4</v>
      </c>
      <c r="P344" s="67">
        <f t="shared" si="141"/>
        <v>0</v>
      </c>
      <c r="Q344" s="68" t="s">
        <v>1005</v>
      </c>
      <c r="R344" s="68"/>
    </row>
    <row r="345" spans="1:18" ht="29" x14ac:dyDescent="0.35">
      <c r="A345" s="70">
        <v>44795</v>
      </c>
      <c r="B345" s="51">
        <f t="shared" si="150"/>
        <v>8</v>
      </c>
      <c r="C345" s="11">
        <f t="shared" si="151"/>
        <v>2022</v>
      </c>
      <c r="D345" s="97"/>
      <c r="E345" s="65" t="s">
        <v>686</v>
      </c>
      <c r="F345" s="80" t="s">
        <v>842</v>
      </c>
      <c r="G345" s="80" t="s">
        <v>842</v>
      </c>
      <c r="H345" s="83" t="s">
        <v>51</v>
      </c>
      <c r="I345" s="65">
        <v>4</v>
      </c>
      <c r="J345" s="69" t="s">
        <v>18</v>
      </c>
      <c r="K345" s="77">
        <v>234</v>
      </c>
      <c r="L345" s="66">
        <f t="shared" si="131"/>
        <v>936</v>
      </c>
      <c r="M345" s="5">
        <f t="shared" si="132"/>
        <v>1573890.8500000003</v>
      </c>
      <c r="N345" s="78" t="s">
        <v>1004</v>
      </c>
      <c r="O345" s="64">
        <v>4</v>
      </c>
      <c r="P345" s="67">
        <f t="shared" si="141"/>
        <v>0</v>
      </c>
      <c r="Q345" s="68" t="s">
        <v>1005</v>
      </c>
      <c r="R345" s="68"/>
    </row>
    <row r="346" spans="1:18" ht="29" x14ac:dyDescent="0.35">
      <c r="A346" s="70">
        <v>44796</v>
      </c>
      <c r="B346" s="51">
        <f t="shared" si="150"/>
        <v>8</v>
      </c>
      <c r="C346" s="11">
        <f t="shared" si="151"/>
        <v>2022</v>
      </c>
      <c r="D346" s="97"/>
      <c r="E346" s="65" t="s">
        <v>686</v>
      </c>
      <c r="F346" s="80" t="s">
        <v>842</v>
      </c>
      <c r="G346" s="80" t="s">
        <v>842</v>
      </c>
      <c r="H346" s="83" t="s">
        <v>51</v>
      </c>
      <c r="I346" s="65">
        <v>3</v>
      </c>
      <c r="J346" s="69" t="s">
        <v>18</v>
      </c>
      <c r="K346" s="77">
        <v>234</v>
      </c>
      <c r="L346" s="66">
        <f t="shared" si="131"/>
        <v>702</v>
      </c>
      <c r="M346" s="5">
        <f t="shared" si="132"/>
        <v>1574592.8500000003</v>
      </c>
      <c r="N346" s="78" t="s">
        <v>1004</v>
      </c>
      <c r="O346" s="64">
        <v>3</v>
      </c>
      <c r="P346" s="67">
        <f t="shared" si="141"/>
        <v>0</v>
      </c>
      <c r="Q346" s="68" t="s">
        <v>1006</v>
      </c>
      <c r="R346" s="68"/>
    </row>
    <row r="347" spans="1:18" ht="29" x14ac:dyDescent="0.35">
      <c r="A347" s="70">
        <v>44799</v>
      </c>
      <c r="B347" s="51">
        <f t="shared" si="150"/>
        <v>8</v>
      </c>
      <c r="C347" s="11">
        <f t="shared" si="151"/>
        <v>2022</v>
      </c>
      <c r="D347" s="97"/>
      <c r="E347" s="65" t="s">
        <v>686</v>
      </c>
      <c r="F347" s="80" t="s">
        <v>925</v>
      </c>
      <c r="G347" s="80" t="s">
        <v>925</v>
      </c>
      <c r="H347" s="83" t="s">
        <v>47</v>
      </c>
      <c r="I347" s="65">
        <v>5</v>
      </c>
      <c r="J347" s="69" t="s">
        <v>0</v>
      </c>
      <c r="K347" s="77">
        <v>1760</v>
      </c>
      <c r="L347" s="66">
        <f t="shared" si="131"/>
        <v>8800</v>
      </c>
      <c r="M347" s="5">
        <f t="shared" si="132"/>
        <v>1583392.8500000003</v>
      </c>
      <c r="N347" s="86" t="s">
        <v>1016</v>
      </c>
      <c r="O347" s="64">
        <f>2+3</f>
        <v>5</v>
      </c>
      <c r="P347" s="67">
        <f t="shared" si="141"/>
        <v>0</v>
      </c>
      <c r="Q347" s="68" t="s">
        <v>1017</v>
      </c>
      <c r="R347" s="68"/>
    </row>
    <row r="348" spans="1:18" ht="29" x14ac:dyDescent="0.35">
      <c r="A348" s="70">
        <v>44799</v>
      </c>
      <c r="B348" s="51">
        <f t="shared" ref="B348:B352" si="152">MONTH(A348)</f>
        <v>8</v>
      </c>
      <c r="C348" s="11">
        <f t="shared" ref="C348:C352" si="153">YEAR(A348)</f>
        <v>2022</v>
      </c>
      <c r="D348" s="97"/>
      <c r="E348" s="65" t="s">
        <v>686</v>
      </c>
      <c r="F348" s="80" t="s">
        <v>979</v>
      </c>
      <c r="G348" s="80" t="s">
        <v>979</v>
      </c>
      <c r="H348" s="83" t="s">
        <v>47</v>
      </c>
      <c r="I348" s="65">
        <v>5</v>
      </c>
      <c r="J348" s="69" t="s">
        <v>0</v>
      </c>
      <c r="K348" s="77">
        <v>1760</v>
      </c>
      <c r="L348" s="66">
        <f t="shared" si="131"/>
        <v>8800</v>
      </c>
      <c r="M348" s="5">
        <f t="shared" si="132"/>
        <v>1592192.8500000003</v>
      </c>
      <c r="N348" s="78" t="s">
        <v>1014</v>
      </c>
      <c r="O348" s="64">
        <f>3+2</f>
        <v>5</v>
      </c>
      <c r="P348" s="67">
        <f t="shared" si="141"/>
        <v>0</v>
      </c>
      <c r="Q348" s="68" t="s">
        <v>1015</v>
      </c>
      <c r="R348" s="68"/>
    </row>
    <row r="349" spans="1:18" ht="43.5" x14ac:dyDescent="0.35">
      <c r="A349" s="70">
        <v>44798</v>
      </c>
      <c r="B349" s="51">
        <f t="shared" si="152"/>
        <v>8</v>
      </c>
      <c r="C349" s="11">
        <f t="shared" si="153"/>
        <v>2022</v>
      </c>
      <c r="D349" s="97"/>
      <c r="E349" s="65" t="s">
        <v>10</v>
      </c>
      <c r="F349" s="80" t="s">
        <v>980</v>
      </c>
      <c r="G349" s="80" t="s">
        <v>980</v>
      </c>
      <c r="H349" s="83" t="s">
        <v>51</v>
      </c>
      <c r="I349" s="65">
        <v>20</v>
      </c>
      <c r="J349" s="69" t="s">
        <v>1</v>
      </c>
      <c r="K349" s="77">
        <v>225</v>
      </c>
      <c r="L349" s="66">
        <f t="shared" si="131"/>
        <v>4500</v>
      </c>
      <c r="M349" s="5">
        <f t="shared" si="132"/>
        <v>1596692.8500000003</v>
      </c>
      <c r="N349" s="86" t="s">
        <v>1033</v>
      </c>
      <c r="O349" s="64">
        <f>10+8+2</f>
        <v>20</v>
      </c>
      <c r="P349" s="67">
        <f t="shared" si="141"/>
        <v>0</v>
      </c>
      <c r="Q349" s="68" t="s">
        <v>1034</v>
      </c>
      <c r="R349" s="68"/>
    </row>
    <row r="350" spans="1:18" ht="43.5" x14ac:dyDescent="0.35">
      <c r="A350" s="70">
        <v>44798</v>
      </c>
      <c r="B350" s="51">
        <f t="shared" si="152"/>
        <v>8</v>
      </c>
      <c r="C350" s="11">
        <f t="shared" si="153"/>
        <v>2022</v>
      </c>
      <c r="D350" s="97"/>
      <c r="E350" s="65" t="s">
        <v>686</v>
      </c>
      <c r="F350" s="80" t="s">
        <v>981</v>
      </c>
      <c r="G350" s="80" t="s">
        <v>981</v>
      </c>
      <c r="H350" s="83" t="s">
        <v>47</v>
      </c>
      <c r="I350" s="65">
        <v>3</v>
      </c>
      <c r="J350" s="69" t="s">
        <v>217</v>
      </c>
      <c r="K350" s="77">
        <v>360</v>
      </c>
      <c r="L350" s="66">
        <f t="shared" si="131"/>
        <v>1080</v>
      </c>
      <c r="M350" s="5">
        <f t="shared" si="132"/>
        <v>1597772.8500000003</v>
      </c>
      <c r="N350" s="86" t="s">
        <v>1139</v>
      </c>
      <c r="O350" s="64">
        <f>1+1+1</f>
        <v>3</v>
      </c>
      <c r="P350" s="67">
        <f t="shared" si="141"/>
        <v>0</v>
      </c>
      <c r="Q350" s="68" t="s">
        <v>1140</v>
      </c>
      <c r="R350" s="68"/>
    </row>
    <row r="351" spans="1:18" ht="14.5" customHeight="1" x14ac:dyDescent="0.35">
      <c r="A351" s="70">
        <v>44798</v>
      </c>
      <c r="B351" s="51">
        <f t="shared" si="152"/>
        <v>8</v>
      </c>
      <c r="C351" s="11">
        <f t="shared" si="153"/>
        <v>2022</v>
      </c>
      <c r="D351" s="97"/>
      <c r="E351" s="65" t="s">
        <v>362</v>
      </c>
      <c r="F351" s="80" t="s">
        <v>675</v>
      </c>
      <c r="G351" s="31" t="s">
        <v>675</v>
      </c>
      <c r="H351" s="83" t="s">
        <v>51</v>
      </c>
      <c r="I351" s="65">
        <v>1</v>
      </c>
      <c r="J351" s="69" t="s">
        <v>18</v>
      </c>
      <c r="K351" s="77">
        <v>370</v>
      </c>
      <c r="L351" s="66">
        <f t="shared" si="131"/>
        <v>370</v>
      </c>
      <c r="M351" s="5">
        <f t="shared" si="132"/>
        <v>1598142.8500000003</v>
      </c>
      <c r="N351" s="78" t="s">
        <v>1007</v>
      </c>
      <c r="O351" s="64">
        <v>1</v>
      </c>
      <c r="P351" s="67">
        <f t="shared" si="141"/>
        <v>0</v>
      </c>
      <c r="Q351" s="68" t="s">
        <v>1008</v>
      </c>
      <c r="R351" s="68"/>
    </row>
    <row r="352" spans="1:18" ht="58" x14ac:dyDescent="0.35">
      <c r="A352" s="70">
        <v>44799</v>
      </c>
      <c r="B352" s="51">
        <f t="shared" si="152"/>
        <v>8</v>
      </c>
      <c r="C352" s="11">
        <f t="shared" si="153"/>
        <v>2022</v>
      </c>
      <c r="D352" s="97" t="s">
        <v>1013</v>
      </c>
      <c r="E352" s="65" t="s">
        <v>307</v>
      </c>
      <c r="F352" s="80" t="s">
        <v>643</v>
      </c>
      <c r="G352" s="31" t="s">
        <v>643</v>
      </c>
      <c r="H352" s="83" t="s">
        <v>47</v>
      </c>
      <c r="I352" s="65">
        <v>4</v>
      </c>
      <c r="J352" s="69" t="s">
        <v>125</v>
      </c>
      <c r="K352" s="77">
        <v>320</v>
      </c>
      <c r="L352" s="66">
        <f t="shared" si="131"/>
        <v>1280</v>
      </c>
      <c r="M352" s="5">
        <f t="shared" si="132"/>
        <v>1599422.8500000003</v>
      </c>
      <c r="N352" s="86" t="s">
        <v>1145</v>
      </c>
      <c r="O352" s="64">
        <f>1+1+1+1</f>
        <v>4</v>
      </c>
      <c r="P352" s="67">
        <f t="shared" si="141"/>
        <v>0</v>
      </c>
      <c r="Q352" s="68" t="s">
        <v>1146</v>
      </c>
      <c r="R352" s="68"/>
    </row>
    <row r="353" spans="1:18" ht="72.5" x14ac:dyDescent="0.35">
      <c r="A353" s="70">
        <v>44810</v>
      </c>
      <c r="B353" s="51">
        <f t="shared" ref="B353:B355" si="154">MONTH(A353)</f>
        <v>9</v>
      </c>
      <c r="C353" s="11">
        <f t="shared" ref="C353:C355" si="155">YEAR(A353)</f>
        <v>2022</v>
      </c>
      <c r="D353" s="97"/>
      <c r="E353" s="65" t="s">
        <v>429</v>
      </c>
      <c r="F353" s="80" t="s">
        <v>862</v>
      </c>
      <c r="G353" s="31" t="s">
        <v>862</v>
      </c>
      <c r="H353" s="83" t="s">
        <v>51</v>
      </c>
      <c r="I353" s="65">
        <v>20</v>
      </c>
      <c r="J353" s="69" t="s">
        <v>1</v>
      </c>
      <c r="K353" s="77">
        <v>200</v>
      </c>
      <c r="L353" s="66">
        <f t="shared" si="131"/>
        <v>4000</v>
      </c>
      <c r="M353" s="5">
        <f t="shared" si="132"/>
        <v>1603422.8500000003</v>
      </c>
      <c r="N353" s="86" t="s">
        <v>1070</v>
      </c>
      <c r="O353" s="64">
        <f>5+5+5+1+4</f>
        <v>20</v>
      </c>
      <c r="P353" s="67">
        <f t="shared" si="141"/>
        <v>0</v>
      </c>
      <c r="Q353" s="68" t="s">
        <v>1071</v>
      </c>
      <c r="R353" s="58" t="s">
        <v>1039</v>
      </c>
    </row>
    <row r="354" spans="1:18" ht="145" x14ac:dyDescent="0.35">
      <c r="A354" s="70">
        <v>44810</v>
      </c>
      <c r="B354" s="51">
        <f t="shared" si="154"/>
        <v>9</v>
      </c>
      <c r="C354" s="11">
        <f t="shared" si="155"/>
        <v>2022</v>
      </c>
      <c r="D354" s="97"/>
      <c r="E354" s="65" t="s">
        <v>429</v>
      </c>
      <c r="F354" s="80" t="s">
        <v>763</v>
      </c>
      <c r="G354" s="31" t="s">
        <v>763</v>
      </c>
      <c r="H354" s="83" t="s">
        <v>51</v>
      </c>
      <c r="I354" s="65">
        <v>20</v>
      </c>
      <c r="J354" s="69" t="s">
        <v>25</v>
      </c>
      <c r="K354" s="77">
        <v>52.5</v>
      </c>
      <c r="L354" s="66">
        <f t="shared" si="131"/>
        <v>1050</v>
      </c>
      <c r="M354" s="5">
        <f>SUM(M353+L354)</f>
        <v>1604472.8500000003</v>
      </c>
      <c r="N354" s="86" t="s">
        <v>1187</v>
      </c>
      <c r="O354" s="64">
        <f>1+1+4+1+1+1+4+1+1+1+4</f>
        <v>20</v>
      </c>
      <c r="P354" s="67">
        <f>I354-O354</f>
        <v>0</v>
      </c>
      <c r="Q354" s="68" t="s">
        <v>1188</v>
      </c>
      <c r="R354" s="68"/>
    </row>
    <row r="355" spans="1:18" ht="101.5" x14ac:dyDescent="0.35">
      <c r="A355" s="70">
        <v>44812</v>
      </c>
      <c r="B355" s="51">
        <f t="shared" si="154"/>
        <v>9</v>
      </c>
      <c r="C355" s="11">
        <f t="shared" si="155"/>
        <v>2022</v>
      </c>
      <c r="D355" s="97"/>
      <c r="E355" s="65" t="s">
        <v>10</v>
      </c>
      <c r="F355" s="80" t="s">
        <v>64</v>
      </c>
      <c r="G355" s="80" t="s">
        <v>64</v>
      </c>
      <c r="H355" s="83" t="s">
        <v>47</v>
      </c>
      <c r="I355" s="65">
        <v>10</v>
      </c>
      <c r="J355" s="69" t="s">
        <v>1</v>
      </c>
      <c r="K355" s="77">
        <v>1650</v>
      </c>
      <c r="L355" s="66">
        <f t="shared" si="131"/>
        <v>16500</v>
      </c>
      <c r="M355" s="5">
        <f t="shared" si="132"/>
        <v>1620972.8500000003</v>
      </c>
      <c r="N355" s="86" t="s">
        <v>1065</v>
      </c>
      <c r="O355" s="64">
        <f>1+1+1+1+3+1+1+1</f>
        <v>10</v>
      </c>
      <c r="P355" s="67">
        <f t="shared" si="141"/>
        <v>0</v>
      </c>
      <c r="Q355" s="68" t="s">
        <v>1066</v>
      </c>
      <c r="R355" s="68"/>
    </row>
    <row r="356" spans="1:18" ht="58" x14ac:dyDescent="0.35">
      <c r="A356" s="70">
        <v>44812</v>
      </c>
      <c r="B356" s="51">
        <f t="shared" ref="B356:B360" si="156">MONTH(A356)</f>
        <v>9</v>
      </c>
      <c r="C356" s="11">
        <f t="shared" ref="C356:C360" si="157">YEAR(A356)</f>
        <v>2022</v>
      </c>
      <c r="D356" s="97"/>
      <c r="E356" s="65" t="s">
        <v>10</v>
      </c>
      <c r="F356" s="80" t="s">
        <v>1022</v>
      </c>
      <c r="G356" s="80" t="s">
        <v>1022</v>
      </c>
      <c r="H356" s="83" t="s">
        <v>47</v>
      </c>
      <c r="I356" s="65">
        <v>10</v>
      </c>
      <c r="J356" s="69" t="s">
        <v>1</v>
      </c>
      <c r="K356" s="77">
        <v>1628</v>
      </c>
      <c r="L356" s="66">
        <f t="shared" si="131"/>
        <v>16280</v>
      </c>
      <c r="M356" s="5">
        <f t="shared" ref="M356:M379" si="158">SUM(M355+L356)</f>
        <v>1637252.8500000003</v>
      </c>
      <c r="N356" s="86" t="s">
        <v>1054</v>
      </c>
      <c r="O356" s="64">
        <f>4+4+1+1</f>
        <v>10</v>
      </c>
      <c r="P356" s="67">
        <f t="shared" si="141"/>
        <v>0</v>
      </c>
      <c r="Q356" s="68" t="s">
        <v>1055</v>
      </c>
      <c r="R356" s="68"/>
    </row>
    <row r="357" spans="1:18" ht="43.5" x14ac:dyDescent="0.35">
      <c r="A357" s="70">
        <v>44812</v>
      </c>
      <c r="B357" s="51">
        <f t="shared" si="156"/>
        <v>9</v>
      </c>
      <c r="C357" s="11">
        <f t="shared" si="157"/>
        <v>2022</v>
      </c>
      <c r="D357" s="97"/>
      <c r="E357" s="65" t="s">
        <v>10</v>
      </c>
      <c r="F357" s="80" t="s">
        <v>980</v>
      </c>
      <c r="G357" s="31" t="s">
        <v>980</v>
      </c>
      <c r="H357" s="83" t="s">
        <v>51</v>
      </c>
      <c r="I357" s="65">
        <v>20</v>
      </c>
      <c r="J357" s="69" t="s">
        <v>1</v>
      </c>
      <c r="K357" s="77">
        <v>219</v>
      </c>
      <c r="L357" s="66">
        <f t="shared" si="131"/>
        <v>4380</v>
      </c>
      <c r="M357" s="5">
        <f t="shared" si="158"/>
        <v>1641632.8500000003</v>
      </c>
      <c r="N357" s="86" t="s">
        <v>1068</v>
      </c>
      <c r="O357" s="64">
        <f>3+10+7</f>
        <v>20</v>
      </c>
      <c r="P357" s="67">
        <f t="shared" si="141"/>
        <v>0</v>
      </c>
      <c r="Q357" s="68" t="s">
        <v>1069</v>
      </c>
      <c r="R357" s="68"/>
    </row>
    <row r="358" spans="1:18" ht="130.5" x14ac:dyDescent="0.35">
      <c r="A358" s="70">
        <v>44812</v>
      </c>
      <c r="B358" s="51">
        <f t="shared" si="156"/>
        <v>9</v>
      </c>
      <c r="C358" s="11">
        <f t="shared" si="157"/>
        <v>2022</v>
      </c>
      <c r="D358" s="97"/>
      <c r="E358" s="65" t="s">
        <v>10</v>
      </c>
      <c r="F358" s="80" t="s">
        <v>28</v>
      </c>
      <c r="G358" s="31" t="s">
        <v>28</v>
      </c>
      <c r="H358" s="83" t="s">
        <v>47</v>
      </c>
      <c r="I358" s="65">
        <v>40</v>
      </c>
      <c r="J358" s="69" t="s">
        <v>217</v>
      </c>
      <c r="K358" s="77">
        <v>32.5</v>
      </c>
      <c r="L358" s="66">
        <f t="shared" ref="L358:L379" si="159">SUM(I358*K358)</f>
        <v>1300</v>
      </c>
      <c r="M358" s="5">
        <f t="shared" si="158"/>
        <v>1642932.8500000003</v>
      </c>
      <c r="N358" s="86" t="s">
        <v>1074</v>
      </c>
      <c r="O358" s="64">
        <f>1+5+10+1+10+5+3+3+2</f>
        <v>40</v>
      </c>
      <c r="P358" s="67">
        <f t="shared" si="141"/>
        <v>0</v>
      </c>
      <c r="Q358" s="68" t="s">
        <v>1075</v>
      </c>
      <c r="R358" s="68"/>
    </row>
    <row r="359" spans="1:18" ht="29" x14ac:dyDescent="0.35">
      <c r="A359" s="70">
        <v>44812</v>
      </c>
      <c r="B359" s="51">
        <f t="shared" si="156"/>
        <v>9</v>
      </c>
      <c r="C359" s="11">
        <f t="shared" si="157"/>
        <v>2022</v>
      </c>
      <c r="D359" s="97"/>
      <c r="E359" s="65" t="s">
        <v>10</v>
      </c>
      <c r="F359" s="80" t="s">
        <v>892</v>
      </c>
      <c r="G359" s="31" t="s">
        <v>892</v>
      </c>
      <c r="H359" s="83" t="s">
        <v>47</v>
      </c>
      <c r="I359" s="65">
        <v>1</v>
      </c>
      <c r="J359" s="69" t="s">
        <v>125</v>
      </c>
      <c r="K359" s="77">
        <v>186</v>
      </c>
      <c r="L359" s="66">
        <f t="shared" si="159"/>
        <v>186</v>
      </c>
      <c r="M359" s="5">
        <f t="shared" si="158"/>
        <v>1643118.8500000003</v>
      </c>
      <c r="N359" s="78" t="s">
        <v>1027</v>
      </c>
      <c r="O359" s="64">
        <v>1</v>
      </c>
      <c r="P359" s="67">
        <f t="shared" si="141"/>
        <v>0</v>
      </c>
      <c r="Q359" s="68" t="s">
        <v>1028</v>
      </c>
      <c r="R359" s="68"/>
    </row>
    <row r="360" spans="1:18" ht="29" x14ac:dyDescent="0.35">
      <c r="A360" s="70">
        <v>44818</v>
      </c>
      <c r="B360" s="51">
        <f t="shared" si="156"/>
        <v>9</v>
      </c>
      <c r="C360" s="11">
        <f t="shared" si="157"/>
        <v>2022</v>
      </c>
      <c r="D360" s="97"/>
      <c r="E360" s="65" t="s">
        <v>686</v>
      </c>
      <c r="F360" s="80" t="s">
        <v>1023</v>
      </c>
      <c r="G360" s="80" t="s">
        <v>1023</v>
      </c>
      <c r="H360" s="83" t="s">
        <v>51</v>
      </c>
      <c r="I360" s="65">
        <v>4</v>
      </c>
      <c r="J360" s="69" t="s">
        <v>18</v>
      </c>
      <c r="K360" s="77">
        <v>330</v>
      </c>
      <c r="L360" s="66">
        <f t="shared" si="159"/>
        <v>1320</v>
      </c>
      <c r="M360" s="5">
        <f t="shared" si="158"/>
        <v>1644438.8500000003</v>
      </c>
      <c r="N360" s="78" t="s">
        <v>1029</v>
      </c>
      <c r="O360" s="64">
        <v>4</v>
      </c>
      <c r="P360" s="67">
        <f t="shared" si="141"/>
        <v>0</v>
      </c>
      <c r="Q360" s="68" t="s">
        <v>1030</v>
      </c>
      <c r="R360" s="68"/>
    </row>
    <row r="361" spans="1:18" ht="43.5" x14ac:dyDescent="0.35">
      <c r="A361" s="70">
        <v>44823</v>
      </c>
      <c r="B361" s="51">
        <f t="shared" ref="B361:B365" si="160">MONTH(A361)</f>
        <v>9</v>
      </c>
      <c r="C361" s="11">
        <f t="shared" ref="C361:C365" si="161">YEAR(A361)</f>
        <v>2022</v>
      </c>
      <c r="D361" s="97"/>
      <c r="E361" s="65" t="s">
        <v>10</v>
      </c>
      <c r="F361" s="80" t="s">
        <v>1022</v>
      </c>
      <c r="G361" s="31" t="s">
        <v>1022</v>
      </c>
      <c r="H361" s="83" t="s">
        <v>47</v>
      </c>
      <c r="I361" s="65">
        <v>10</v>
      </c>
      <c r="J361" s="69" t="s">
        <v>0</v>
      </c>
      <c r="K361" s="77">
        <v>1628</v>
      </c>
      <c r="L361" s="66">
        <f t="shared" si="159"/>
        <v>16280</v>
      </c>
      <c r="M361" s="5">
        <f t="shared" si="158"/>
        <v>1660718.8500000003</v>
      </c>
      <c r="N361" s="86" t="s">
        <v>1052</v>
      </c>
      <c r="O361" s="64">
        <f>5+1+4</f>
        <v>10</v>
      </c>
      <c r="P361" s="67">
        <f t="shared" si="141"/>
        <v>0</v>
      </c>
      <c r="Q361" s="68" t="s">
        <v>1053</v>
      </c>
      <c r="R361" s="68"/>
    </row>
    <row r="362" spans="1:18" ht="188.5" x14ac:dyDescent="0.35">
      <c r="A362" s="70">
        <v>44828</v>
      </c>
      <c r="B362" s="51">
        <f t="shared" si="160"/>
        <v>9</v>
      </c>
      <c r="C362" s="11">
        <f t="shared" si="161"/>
        <v>2022</v>
      </c>
      <c r="D362" s="97"/>
      <c r="E362" s="65" t="s">
        <v>429</v>
      </c>
      <c r="F362" s="80" t="s">
        <v>1024</v>
      </c>
      <c r="G362" s="80" t="s">
        <v>1024</v>
      </c>
      <c r="H362" s="83" t="s">
        <v>51</v>
      </c>
      <c r="I362" s="65">
        <v>32</v>
      </c>
      <c r="J362" s="69" t="s">
        <v>25</v>
      </c>
      <c r="K362" s="77">
        <v>67.5</v>
      </c>
      <c r="L362" s="66">
        <f t="shared" si="159"/>
        <v>2160</v>
      </c>
      <c r="M362" s="5">
        <f t="shared" si="158"/>
        <v>1662878.8500000003</v>
      </c>
      <c r="N362" s="86" t="s">
        <v>1193</v>
      </c>
      <c r="O362" s="64">
        <f>2+4+1+6+1+2+1+4+1+1+4+1+4</f>
        <v>32</v>
      </c>
      <c r="P362" s="67">
        <f t="shared" si="141"/>
        <v>0</v>
      </c>
      <c r="Q362" s="68" t="s">
        <v>1191</v>
      </c>
      <c r="R362" s="68"/>
    </row>
    <row r="363" spans="1:18" ht="29" x14ac:dyDescent="0.35">
      <c r="A363" s="70">
        <v>44830</v>
      </c>
      <c r="B363" s="51">
        <f t="shared" si="160"/>
        <v>9</v>
      </c>
      <c r="C363" s="11">
        <f t="shared" si="161"/>
        <v>2022</v>
      </c>
      <c r="D363" s="97"/>
      <c r="E363" s="65" t="s">
        <v>10</v>
      </c>
      <c r="F363" s="80" t="s">
        <v>245</v>
      </c>
      <c r="G363" s="31" t="s">
        <v>245</v>
      </c>
      <c r="H363" s="83" t="s">
        <v>51</v>
      </c>
      <c r="I363" s="65">
        <v>12</v>
      </c>
      <c r="J363" s="69" t="s">
        <v>215</v>
      </c>
      <c r="K363" s="77">
        <v>43</v>
      </c>
      <c r="L363" s="66">
        <f t="shared" si="159"/>
        <v>516</v>
      </c>
      <c r="M363" s="5">
        <f t="shared" si="158"/>
        <v>1663394.8500000003</v>
      </c>
      <c r="N363" s="86" t="s">
        <v>1063</v>
      </c>
      <c r="O363" s="64">
        <f>6+6</f>
        <v>12</v>
      </c>
      <c r="P363" s="67">
        <f t="shared" si="141"/>
        <v>0</v>
      </c>
      <c r="Q363" s="68" t="s">
        <v>1064</v>
      </c>
      <c r="R363" s="68"/>
    </row>
    <row r="364" spans="1:18" x14ac:dyDescent="0.35">
      <c r="A364" s="70">
        <v>44832</v>
      </c>
      <c r="B364" s="51">
        <f t="shared" si="160"/>
        <v>9</v>
      </c>
      <c r="C364" s="11">
        <f t="shared" si="161"/>
        <v>2022</v>
      </c>
      <c r="D364" s="97"/>
      <c r="E364" s="65" t="s">
        <v>686</v>
      </c>
      <c r="F364" s="80" t="s">
        <v>956</v>
      </c>
      <c r="G364" s="31" t="s">
        <v>956</v>
      </c>
      <c r="H364" s="83" t="s">
        <v>51</v>
      </c>
      <c r="I364" s="65">
        <v>1</v>
      </c>
      <c r="J364" s="69" t="s">
        <v>25</v>
      </c>
      <c r="K364" s="77">
        <v>80</v>
      </c>
      <c r="L364" s="66">
        <f t="shared" si="159"/>
        <v>80</v>
      </c>
      <c r="M364" s="5">
        <f t="shared" si="158"/>
        <v>1663474.8500000003</v>
      </c>
      <c r="N364" s="78" t="s">
        <v>1040</v>
      </c>
      <c r="O364" s="64">
        <v>1</v>
      </c>
      <c r="P364" s="67">
        <f t="shared" si="141"/>
        <v>0</v>
      </c>
      <c r="Q364" s="68" t="s">
        <v>1041</v>
      </c>
      <c r="R364" s="68"/>
    </row>
    <row r="365" spans="1:18" ht="29" x14ac:dyDescent="0.35">
      <c r="A365" s="70">
        <v>44832</v>
      </c>
      <c r="B365" s="51">
        <f t="shared" si="160"/>
        <v>9</v>
      </c>
      <c r="C365" s="11">
        <f t="shared" si="161"/>
        <v>2022</v>
      </c>
      <c r="D365" s="97"/>
      <c r="E365" s="65" t="s">
        <v>686</v>
      </c>
      <c r="F365" s="80" t="s">
        <v>958</v>
      </c>
      <c r="G365" s="31" t="s">
        <v>958</v>
      </c>
      <c r="H365" s="83" t="s">
        <v>51</v>
      </c>
      <c r="I365" s="65">
        <v>4</v>
      </c>
      <c r="J365" s="69" t="s">
        <v>125</v>
      </c>
      <c r="K365" s="77">
        <v>115</v>
      </c>
      <c r="L365" s="66">
        <f t="shared" si="159"/>
        <v>460</v>
      </c>
      <c r="M365" s="5">
        <f t="shared" si="158"/>
        <v>1663934.8500000003</v>
      </c>
      <c r="N365" s="78" t="s">
        <v>1040</v>
      </c>
      <c r="O365" s="64">
        <v>4</v>
      </c>
      <c r="P365" s="67">
        <f t="shared" si="141"/>
        <v>0</v>
      </c>
      <c r="Q365" s="68" t="s">
        <v>1041</v>
      </c>
      <c r="R365" s="68"/>
    </row>
    <row r="366" spans="1:18" ht="29" x14ac:dyDescent="0.35">
      <c r="A366" s="70">
        <v>44832</v>
      </c>
      <c r="B366" s="51">
        <f t="shared" ref="B366:B367" si="162">MONTH(A366)</f>
        <v>9</v>
      </c>
      <c r="C366" s="11">
        <f t="shared" ref="C366:C367" si="163">YEAR(A366)</f>
        <v>2022</v>
      </c>
      <c r="D366" s="97"/>
      <c r="E366" s="65" t="s">
        <v>686</v>
      </c>
      <c r="F366" s="80" t="s">
        <v>842</v>
      </c>
      <c r="G366" s="31" t="s">
        <v>842</v>
      </c>
      <c r="H366" s="83" t="s">
        <v>51</v>
      </c>
      <c r="I366" s="65">
        <v>4</v>
      </c>
      <c r="J366" s="69" t="s">
        <v>18</v>
      </c>
      <c r="K366" s="77">
        <v>225</v>
      </c>
      <c r="L366" s="66">
        <f t="shared" si="159"/>
        <v>900</v>
      </c>
      <c r="M366" s="5">
        <f t="shared" si="158"/>
        <v>1664834.8500000003</v>
      </c>
      <c r="N366" s="78" t="s">
        <v>1040</v>
      </c>
      <c r="O366" s="64">
        <v>4</v>
      </c>
      <c r="P366" s="67">
        <f t="shared" si="141"/>
        <v>0</v>
      </c>
      <c r="Q366" s="68" t="s">
        <v>1044</v>
      </c>
      <c r="R366" s="68"/>
    </row>
    <row r="367" spans="1:18" ht="29" x14ac:dyDescent="0.35">
      <c r="A367" s="70">
        <v>44834</v>
      </c>
      <c r="B367" s="51">
        <f t="shared" si="162"/>
        <v>9</v>
      </c>
      <c r="C367" s="11">
        <f t="shared" si="163"/>
        <v>2022</v>
      </c>
      <c r="D367" s="97"/>
      <c r="E367" s="65" t="s">
        <v>10</v>
      </c>
      <c r="F367" s="80" t="s">
        <v>1022</v>
      </c>
      <c r="G367" s="80" t="s">
        <v>1022</v>
      </c>
      <c r="H367" s="83" t="s">
        <v>51</v>
      </c>
      <c r="I367" s="65">
        <v>4</v>
      </c>
      <c r="J367" s="69" t="s">
        <v>0</v>
      </c>
      <c r="K367" s="77">
        <v>1617</v>
      </c>
      <c r="L367" s="66">
        <f t="shared" si="159"/>
        <v>6468</v>
      </c>
      <c r="M367" s="5">
        <f t="shared" si="158"/>
        <v>1671302.8500000003</v>
      </c>
      <c r="N367" s="78" t="s">
        <v>1045</v>
      </c>
      <c r="O367" s="64">
        <v>4</v>
      </c>
      <c r="P367" s="67">
        <f t="shared" si="141"/>
        <v>0</v>
      </c>
      <c r="Q367" s="68" t="s">
        <v>1046</v>
      </c>
      <c r="R367" s="68"/>
    </row>
    <row r="368" spans="1:18" ht="43.5" x14ac:dyDescent="0.35">
      <c r="A368" s="70">
        <v>44834</v>
      </c>
      <c r="B368" s="51">
        <f t="shared" ref="B368:B371" si="164">MONTH(A368)</f>
        <v>9</v>
      </c>
      <c r="C368" s="11">
        <f t="shared" ref="C368:C371" si="165">YEAR(A368)</f>
        <v>2022</v>
      </c>
      <c r="D368" s="97"/>
      <c r="E368" s="65" t="s">
        <v>10</v>
      </c>
      <c r="F368" s="80" t="s">
        <v>980</v>
      </c>
      <c r="G368" s="80" t="s">
        <v>980</v>
      </c>
      <c r="H368" s="83" t="s">
        <v>51</v>
      </c>
      <c r="I368" s="65">
        <v>20</v>
      </c>
      <c r="J368" s="69" t="s">
        <v>1</v>
      </c>
      <c r="K368" s="77">
        <v>219</v>
      </c>
      <c r="L368" s="66">
        <f t="shared" si="159"/>
        <v>4380</v>
      </c>
      <c r="M368" s="5">
        <f t="shared" si="158"/>
        <v>1675682.8500000003</v>
      </c>
      <c r="N368" s="78" t="s">
        <v>1045</v>
      </c>
      <c r="O368" s="64">
        <v>20</v>
      </c>
      <c r="P368" s="67">
        <f t="shared" si="141"/>
        <v>0</v>
      </c>
      <c r="Q368" s="68" t="s">
        <v>1047</v>
      </c>
      <c r="R368" s="68"/>
    </row>
    <row r="369" spans="1:18" ht="29" x14ac:dyDescent="0.35">
      <c r="A369" s="70">
        <v>44834</v>
      </c>
      <c r="B369" s="51">
        <f t="shared" si="164"/>
        <v>9</v>
      </c>
      <c r="C369" s="11">
        <f t="shared" si="165"/>
        <v>2022</v>
      </c>
      <c r="D369" s="97"/>
      <c r="E369" s="65" t="s">
        <v>10</v>
      </c>
      <c r="F369" s="80" t="s">
        <v>900</v>
      </c>
      <c r="G369" s="80" t="s">
        <v>900</v>
      </c>
      <c r="H369" s="83" t="s">
        <v>51</v>
      </c>
      <c r="I369" s="65">
        <v>10</v>
      </c>
      <c r="J369" s="69" t="s">
        <v>1</v>
      </c>
      <c r="K369" s="77">
        <v>261</v>
      </c>
      <c r="L369" s="66">
        <f t="shared" si="159"/>
        <v>2610</v>
      </c>
      <c r="M369" s="5">
        <f t="shared" si="158"/>
        <v>1678292.8500000003</v>
      </c>
      <c r="N369" s="78" t="s">
        <v>1045</v>
      </c>
      <c r="O369" s="64">
        <v>10</v>
      </c>
      <c r="P369" s="67">
        <f t="shared" ref="P369:P432" si="166">I369-O369</f>
        <v>0</v>
      </c>
      <c r="Q369" s="68" t="s">
        <v>1048</v>
      </c>
      <c r="R369" s="68"/>
    </row>
    <row r="370" spans="1:18" ht="29" x14ac:dyDescent="0.35">
      <c r="A370" s="70">
        <v>44834</v>
      </c>
      <c r="B370" s="51">
        <f t="shared" si="164"/>
        <v>9</v>
      </c>
      <c r="C370" s="11">
        <f t="shared" si="165"/>
        <v>2022</v>
      </c>
      <c r="D370" s="97"/>
      <c r="E370" s="65" t="s">
        <v>10</v>
      </c>
      <c r="F370" s="80" t="s">
        <v>28</v>
      </c>
      <c r="G370" s="80" t="s">
        <v>28</v>
      </c>
      <c r="H370" s="83" t="s">
        <v>51</v>
      </c>
      <c r="I370" s="65">
        <v>4</v>
      </c>
      <c r="J370" s="69" t="s">
        <v>217</v>
      </c>
      <c r="K370" s="77">
        <v>32.5</v>
      </c>
      <c r="L370" s="66">
        <f t="shared" si="159"/>
        <v>130</v>
      </c>
      <c r="M370" s="5">
        <f t="shared" si="158"/>
        <v>1678422.8500000003</v>
      </c>
      <c r="N370" s="86" t="s">
        <v>1062</v>
      </c>
      <c r="O370" s="64">
        <v>4</v>
      </c>
      <c r="P370" s="67">
        <f t="shared" si="166"/>
        <v>0</v>
      </c>
      <c r="Q370" s="68" t="s">
        <v>1046</v>
      </c>
      <c r="R370" s="68"/>
    </row>
    <row r="371" spans="1:18" ht="29" x14ac:dyDescent="0.35">
      <c r="A371" s="70">
        <v>44835</v>
      </c>
      <c r="B371" s="51">
        <f t="shared" si="164"/>
        <v>10</v>
      </c>
      <c r="C371" s="11">
        <f t="shared" si="165"/>
        <v>2022</v>
      </c>
      <c r="D371" s="97"/>
      <c r="E371" s="65" t="s">
        <v>686</v>
      </c>
      <c r="F371" s="80" t="s">
        <v>979</v>
      </c>
      <c r="G371" s="80" t="s">
        <v>1022</v>
      </c>
      <c r="H371" s="83" t="s">
        <v>51</v>
      </c>
      <c r="I371" s="65">
        <v>9</v>
      </c>
      <c r="J371" s="69" t="s">
        <v>0</v>
      </c>
      <c r="K371" s="77">
        <v>1606</v>
      </c>
      <c r="L371" s="66">
        <f t="shared" si="159"/>
        <v>14454</v>
      </c>
      <c r="M371" s="5">
        <f t="shared" si="158"/>
        <v>1692876.8500000003</v>
      </c>
      <c r="N371" s="78" t="s">
        <v>1051</v>
      </c>
      <c r="O371" s="64">
        <v>9</v>
      </c>
      <c r="P371" s="67">
        <f t="shared" si="166"/>
        <v>0</v>
      </c>
      <c r="Q371" s="68" t="s">
        <v>1057</v>
      </c>
      <c r="R371" s="68"/>
    </row>
    <row r="372" spans="1:18" ht="29" x14ac:dyDescent="0.35">
      <c r="A372" s="70">
        <v>44837</v>
      </c>
      <c r="B372" s="51">
        <f t="shared" ref="B372:B380" si="167">MONTH(A372)</f>
        <v>10</v>
      </c>
      <c r="C372" s="11">
        <f t="shared" ref="C372:C380" si="168">YEAR(A372)</f>
        <v>2022</v>
      </c>
      <c r="D372" s="97"/>
      <c r="E372" s="65" t="s">
        <v>686</v>
      </c>
      <c r="F372" s="80" t="s">
        <v>979</v>
      </c>
      <c r="G372" s="31" t="s">
        <v>1022</v>
      </c>
      <c r="H372" s="83" t="s">
        <v>51</v>
      </c>
      <c r="I372" s="65">
        <v>2</v>
      </c>
      <c r="J372" s="69" t="s">
        <v>0</v>
      </c>
      <c r="K372" s="77">
        <v>1606</v>
      </c>
      <c r="L372" s="66">
        <f t="shared" si="159"/>
        <v>3212</v>
      </c>
      <c r="M372" s="5">
        <f t="shared" si="158"/>
        <v>1696088.8500000003</v>
      </c>
      <c r="N372" s="78" t="s">
        <v>1056</v>
      </c>
      <c r="O372" s="64">
        <v>2</v>
      </c>
      <c r="P372" s="67">
        <f t="shared" si="166"/>
        <v>0</v>
      </c>
      <c r="Q372" s="68" t="s">
        <v>1058</v>
      </c>
      <c r="R372" s="68"/>
    </row>
    <row r="373" spans="1:18" x14ac:dyDescent="0.35">
      <c r="A373" s="70">
        <v>44837</v>
      </c>
      <c r="B373" s="51">
        <f t="shared" si="167"/>
        <v>10</v>
      </c>
      <c r="C373" s="11">
        <f t="shared" si="168"/>
        <v>2022</v>
      </c>
      <c r="D373" s="97"/>
      <c r="E373" s="65" t="s">
        <v>686</v>
      </c>
      <c r="F373" s="39" t="s">
        <v>1049</v>
      </c>
      <c r="G373" s="31" t="s">
        <v>1049</v>
      </c>
      <c r="H373" s="83" t="s">
        <v>51</v>
      </c>
      <c r="I373" s="65">
        <v>1</v>
      </c>
      <c r="J373" s="69" t="s">
        <v>138</v>
      </c>
      <c r="K373" s="77">
        <v>30</v>
      </c>
      <c r="L373" s="66">
        <f t="shared" si="159"/>
        <v>30</v>
      </c>
      <c r="M373" s="5">
        <f t="shared" si="158"/>
        <v>1696118.8500000003</v>
      </c>
      <c r="N373" s="78" t="s">
        <v>1076</v>
      </c>
      <c r="O373" s="64">
        <v>1</v>
      </c>
      <c r="P373" s="67">
        <f t="shared" si="166"/>
        <v>0</v>
      </c>
      <c r="Q373" s="68" t="s">
        <v>1079</v>
      </c>
      <c r="R373" s="68"/>
    </row>
    <row r="374" spans="1:18" ht="43.5" x14ac:dyDescent="0.35">
      <c r="A374" s="70">
        <v>44837</v>
      </c>
      <c r="B374" s="51">
        <f t="shared" si="167"/>
        <v>10</v>
      </c>
      <c r="C374" s="11">
        <f t="shared" si="168"/>
        <v>2022</v>
      </c>
      <c r="D374" s="97"/>
      <c r="E374" s="65" t="s">
        <v>10</v>
      </c>
      <c r="F374" s="80" t="s">
        <v>980</v>
      </c>
      <c r="G374" s="80" t="s">
        <v>980</v>
      </c>
      <c r="H374" s="83" t="s">
        <v>51</v>
      </c>
      <c r="I374" s="65">
        <v>25</v>
      </c>
      <c r="J374" s="69" t="s">
        <v>1</v>
      </c>
      <c r="K374" s="77">
        <v>219</v>
      </c>
      <c r="L374" s="66">
        <f t="shared" si="159"/>
        <v>5475</v>
      </c>
      <c r="M374" s="5">
        <f t="shared" si="158"/>
        <v>1701593.8500000003</v>
      </c>
      <c r="N374" s="78" t="s">
        <v>1056</v>
      </c>
      <c r="O374" s="64">
        <v>25</v>
      </c>
      <c r="P374" s="67">
        <f t="shared" si="166"/>
        <v>0</v>
      </c>
      <c r="Q374" s="68" t="s">
        <v>1059</v>
      </c>
      <c r="R374" s="68"/>
    </row>
    <row r="375" spans="1:18" ht="29" x14ac:dyDescent="0.35">
      <c r="A375" s="70">
        <v>44837</v>
      </c>
      <c r="B375" s="51">
        <f t="shared" si="167"/>
        <v>10</v>
      </c>
      <c r="C375" s="11">
        <f t="shared" si="168"/>
        <v>2022</v>
      </c>
      <c r="D375" s="97"/>
      <c r="E375" s="65" t="s">
        <v>10</v>
      </c>
      <c r="F375" s="80" t="s">
        <v>900</v>
      </c>
      <c r="G375" s="80" t="s">
        <v>900</v>
      </c>
      <c r="H375" s="83" t="s">
        <v>51</v>
      </c>
      <c r="I375" s="65">
        <v>12</v>
      </c>
      <c r="J375" s="69" t="s">
        <v>1</v>
      </c>
      <c r="K375" s="77">
        <v>261</v>
      </c>
      <c r="L375" s="66">
        <f t="shared" si="159"/>
        <v>3132</v>
      </c>
      <c r="M375" s="5">
        <f t="shared" si="158"/>
        <v>1704725.8500000003</v>
      </c>
      <c r="N375" s="78" t="s">
        <v>1056</v>
      </c>
      <c r="O375" s="64">
        <v>12</v>
      </c>
      <c r="P375" s="67">
        <f t="shared" si="166"/>
        <v>0</v>
      </c>
      <c r="Q375" s="68" t="s">
        <v>1060</v>
      </c>
      <c r="R375" s="68"/>
    </row>
    <row r="376" spans="1:18" ht="29" x14ac:dyDescent="0.35">
      <c r="A376" s="70">
        <v>44837</v>
      </c>
      <c r="B376" s="51">
        <f t="shared" si="167"/>
        <v>10</v>
      </c>
      <c r="C376" s="11">
        <f t="shared" si="168"/>
        <v>2022</v>
      </c>
      <c r="D376" s="97"/>
      <c r="E376" s="65" t="s">
        <v>10</v>
      </c>
      <c r="F376" s="80" t="s">
        <v>28</v>
      </c>
      <c r="G376" s="80" t="s">
        <v>28</v>
      </c>
      <c r="H376" s="83" t="s">
        <v>51</v>
      </c>
      <c r="I376" s="65">
        <v>11</v>
      </c>
      <c r="J376" s="69" t="s">
        <v>217</v>
      </c>
      <c r="K376" s="77">
        <v>32.5</v>
      </c>
      <c r="L376" s="66">
        <f t="shared" si="159"/>
        <v>357.5</v>
      </c>
      <c r="M376" s="5">
        <f t="shared" si="158"/>
        <v>1705083.3500000003</v>
      </c>
      <c r="N376" s="86" t="s">
        <v>1056</v>
      </c>
      <c r="O376" s="64">
        <f>11</f>
        <v>11</v>
      </c>
      <c r="P376" s="67">
        <f t="shared" si="166"/>
        <v>0</v>
      </c>
      <c r="Q376" s="68" t="s">
        <v>1061</v>
      </c>
      <c r="R376" s="68"/>
    </row>
    <row r="377" spans="1:18" ht="29" x14ac:dyDescent="0.35">
      <c r="A377" s="70">
        <v>44837</v>
      </c>
      <c r="B377" s="51">
        <f t="shared" si="167"/>
        <v>10</v>
      </c>
      <c r="C377" s="11">
        <f t="shared" si="168"/>
        <v>2022</v>
      </c>
      <c r="D377" s="97"/>
      <c r="E377" s="65" t="s">
        <v>686</v>
      </c>
      <c r="F377" s="80" t="s">
        <v>925</v>
      </c>
      <c r="G377" s="80" t="s">
        <v>64</v>
      </c>
      <c r="H377" s="83" t="s">
        <v>51</v>
      </c>
      <c r="I377" s="65">
        <v>2</v>
      </c>
      <c r="J377" s="69" t="s">
        <v>0</v>
      </c>
      <c r="K377" s="77">
        <v>1606</v>
      </c>
      <c r="L377" s="66">
        <f t="shared" si="159"/>
        <v>3212</v>
      </c>
      <c r="M377" s="5">
        <f t="shared" si="158"/>
        <v>1708295.3500000003</v>
      </c>
      <c r="N377" s="86" t="s">
        <v>1056</v>
      </c>
      <c r="O377" s="64">
        <v>2</v>
      </c>
      <c r="P377" s="67">
        <f t="shared" si="166"/>
        <v>0</v>
      </c>
      <c r="Q377" s="68" t="s">
        <v>1067</v>
      </c>
      <c r="R377" s="68"/>
    </row>
    <row r="378" spans="1:18" ht="145" x14ac:dyDescent="0.35">
      <c r="A378" s="70">
        <v>44837</v>
      </c>
      <c r="B378" s="51">
        <f t="shared" si="167"/>
        <v>10</v>
      </c>
      <c r="C378" s="11">
        <f t="shared" si="168"/>
        <v>2022</v>
      </c>
      <c r="D378" s="97"/>
      <c r="E378" s="65" t="s">
        <v>686</v>
      </c>
      <c r="F378" s="80" t="s">
        <v>925</v>
      </c>
      <c r="G378" s="80" t="s">
        <v>925</v>
      </c>
      <c r="H378" s="83" t="s">
        <v>47</v>
      </c>
      <c r="I378" s="65">
        <v>15</v>
      </c>
      <c r="J378" s="69" t="s">
        <v>0</v>
      </c>
      <c r="K378" s="77">
        <v>1606</v>
      </c>
      <c r="L378" s="66">
        <f t="shared" si="159"/>
        <v>24090</v>
      </c>
      <c r="M378" s="5">
        <f t="shared" si="158"/>
        <v>1732385.3500000003</v>
      </c>
      <c r="N378" s="86" t="s">
        <v>1161</v>
      </c>
      <c r="O378" s="64">
        <f>1+1+1+2+1+1+1+4+1+2</f>
        <v>15</v>
      </c>
      <c r="P378" s="67">
        <f t="shared" si="166"/>
        <v>0</v>
      </c>
      <c r="Q378" s="68" t="s">
        <v>1162</v>
      </c>
      <c r="R378" s="68"/>
    </row>
    <row r="379" spans="1:18" ht="72.5" x14ac:dyDescent="0.35">
      <c r="A379" s="70">
        <v>44837</v>
      </c>
      <c r="B379" s="51">
        <f t="shared" si="167"/>
        <v>10</v>
      </c>
      <c r="C379" s="11">
        <f t="shared" si="168"/>
        <v>2022</v>
      </c>
      <c r="D379" s="97"/>
      <c r="E379" s="65" t="s">
        <v>686</v>
      </c>
      <c r="F379" s="80" t="s">
        <v>979</v>
      </c>
      <c r="G379" s="80" t="s">
        <v>979</v>
      </c>
      <c r="H379" s="83" t="s">
        <v>47</v>
      </c>
      <c r="I379" s="65">
        <v>15</v>
      </c>
      <c r="J379" s="69" t="s">
        <v>0</v>
      </c>
      <c r="K379" s="77">
        <v>1606</v>
      </c>
      <c r="L379" s="66">
        <f t="shared" si="159"/>
        <v>24090</v>
      </c>
      <c r="M379" s="5">
        <f t="shared" si="158"/>
        <v>1756475.3500000003</v>
      </c>
      <c r="N379" s="86" t="s">
        <v>1084</v>
      </c>
      <c r="O379" s="64">
        <f>1+1+3+5+5</f>
        <v>15</v>
      </c>
      <c r="P379" s="67">
        <f t="shared" si="166"/>
        <v>0</v>
      </c>
      <c r="Q379" s="68" t="s">
        <v>1086</v>
      </c>
      <c r="R379" s="68"/>
    </row>
    <row r="380" spans="1:18" ht="101.5" x14ac:dyDescent="0.35">
      <c r="A380" s="70">
        <v>44837</v>
      </c>
      <c r="B380" s="51">
        <f t="shared" si="167"/>
        <v>10</v>
      </c>
      <c r="C380" s="11">
        <f t="shared" si="168"/>
        <v>2022</v>
      </c>
      <c r="D380" s="97"/>
      <c r="E380" s="65" t="s">
        <v>10</v>
      </c>
      <c r="F380" s="80" t="s">
        <v>28</v>
      </c>
      <c r="G380" s="80" t="s">
        <v>28</v>
      </c>
      <c r="H380" s="83" t="s">
        <v>47</v>
      </c>
      <c r="I380" s="65">
        <v>40</v>
      </c>
      <c r="J380" s="69" t="s">
        <v>217</v>
      </c>
      <c r="K380" s="77">
        <v>32.5</v>
      </c>
      <c r="L380" s="66">
        <f t="shared" ref="L380:L432" si="169">SUM(I380*K380)</f>
        <v>1300</v>
      </c>
      <c r="M380" s="5">
        <f t="shared" ref="M380:M424" si="170">SUM(M379+L380)</f>
        <v>1757775.3500000003</v>
      </c>
      <c r="N380" s="86" t="s">
        <v>1155</v>
      </c>
      <c r="O380" s="64">
        <f>8+2+4+5+10+5+6</f>
        <v>40</v>
      </c>
      <c r="P380" s="67">
        <f t="shared" si="166"/>
        <v>0</v>
      </c>
      <c r="Q380" s="68" t="s">
        <v>1156</v>
      </c>
      <c r="R380" s="68"/>
    </row>
    <row r="381" spans="1:18" ht="101.5" x14ac:dyDescent="0.35">
      <c r="A381" s="70">
        <v>44841</v>
      </c>
      <c r="B381" s="51">
        <f t="shared" ref="B381:B385" si="171">MONTH(A381)</f>
        <v>10</v>
      </c>
      <c r="C381" s="11">
        <f t="shared" ref="C381:C385" si="172">YEAR(A381)</f>
        <v>2022</v>
      </c>
      <c r="D381" s="97"/>
      <c r="E381" s="65" t="s">
        <v>10</v>
      </c>
      <c r="F381" s="80" t="s">
        <v>980</v>
      </c>
      <c r="G381" s="80" t="s">
        <v>980</v>
      </c>
      <c r="H381" s="83" t="s">
        <v>47</v>
      </c>
      <c r="I381" s="65">
        <v>40</v>
      </c>
      <c r="J381" s="69" t="s">
        <v>1</v>
      </c>
      <c r="K381" s="77">
        <v>216</v>
      </c>
      <c r="L381" s="66">
        <f t="shared" si="169"/>
        <v>8640</v>
      </c>
      <c r="M381" s="5">
        <f t="shared" si="170"/>
        <v>1766415.3500000003</v>
      </c>
      <c r="N381" s="86" t="s">
        <v>1099</v>
      </c>
      <c r="O381" s="64">
        <f>2+5+4+10+3+15+1</f>
        <v>40</v>
      </c>
      <c r="P381" s="67">
        <f t="shared" si="166"/>
        <v>0</v>
      </c>
      <c r="Q381" s="68" t="s">
        <v>1100</v>
      </c>
      <c r="R381" s="68"/>
    </row>
    <row r="382" spans="1:18" ht="58" x14ac:dyDescent="0.35">
      <c r="A382" s="70">
        <v>44841</v>
      </c>
      <c r="B382" s="51">
        <f t="shared" si="171"/>
        <v>10</v>
      </c>
      <c r="C382" s="11">
        <f t="shared" si="172"/>
        <v>2022</v>
      </c>
      <c r="D382" s="97"/>
      <c r="E382" s="65" t="s">
        <v>10</v>
      </c>
      <c r="F382" s="80" t="s">
        <v>900</v>
      </c>
      <c r="G382" s="80" t="s">
        <v>900</v>
      </c>
      <c r="H382" s="83" t="s">
        <v>47</v>
      </c>
      <c r="I382" s="65">
        <v>20</v>
      </c>
      <c r="J382" s="69" t="s">
        <v>1</v>
      </c>
      <c r="K382" s="77">
        <v>261</v>
      </c>
      <c r="L382" s="66">
        <f t="shared" si="169"/>
        <v>5220</v>
      </c>
      <c r="M382" s="5">
        <f t="shared" si="170"/>
        <v>1771635.3500000003</v>
      </c>
      <c r="N382" s="86" t="s">
        <v>1132</v>
      </c>
      <c r="O382" s="64">
        <f>5+7+4+1</f>
        <v>17</v>
      </c>
      <c r="P382" s="67">
        <f t="shared" si="166"/>
        <v>3</v>
      </c>
      <c r="Q382" s="68" t="s">
        <v>1133</v>
      </c>
      <c r="R382" s="68"/>
    </row>
    <row r="383" spans="1:18" ht="43.5" x14ac:dyDescent="0.35">
      <c r="A383" s="70">
        <v>44841</v>
      </c>
      <c r="B383" s="51">
        <f t="shared" si="171"/>
        <v>10</v>
      </c>
      <c r="C383" s="11">
        <f t="shared" si="172"/>
        <v>2022</v>
      </c>
      <c r="D383" s="97"/>
      <c r="E383" s="65" t="s">
        <v>686</v>
      </c>
      <c r="F383" s="80" t="s">
        <v>765</v>
      </c>
      <c r="G383" s="80" t="s">
        <v>765</v>
      </c>
      <c r="H383" s="83" t="s">
        <v>51</v>
      </c>
      <c r="I383" s="65">
        <v>4</v>
      </c>
      <c r="J383" s="69" t="s">
        <v>18</v>
      </c>
      <c r="K383" s="77">
        <v>650</v>
      </c>
      <c r="L383" s="66">
        <f t="shared" si="169"/>
        <v>2600</v>
      </c>
      <c r="M383" s="5">
        <f t="shared" si="170"/>
        <v>1774235.3500000003</v>
      </c>
      <c r="N383" s="86" t="s">
        <v>1127</v>
      </c>
      <c r="O383" s="64">
        <f>1+2+1</f>
        <v>4</v>
      </c>
      <c r="P383" s="67">
        <f t="shared" si="166"/>
        <v>0</v>
      </c>
      <c r="Q383" s="68" t="s">
        <v>1128</v>
      </c>
      <c r="R383" s="68"/>
    </row>
    <row r="384" spans="1:18" ht="29" x14ac:dyDescent="0.35">
      <c r="A384" s="70">
        <v>44851</v>
      </c>
      <c r="B384" s="51">
        <f t="shared" si="171"/>
        <v>10</v>
      </c>
      <c r="C384" s="11">
        <f t="shared" si="172"/>
        <v>2022</v>
      </c>
      <c r="D384" s="97"/>
      <c r="E384" s="65" t="s">
        <v>686</v>
      </c>
      <c r="F384" s="80" t="s">
        <v>958</v>
      </c>
      <c r="G384" s="80" t="s">
        <v>958</v>
      </c>
      <c r="H384" s="83" t="s">
        <v>51</v>
      </c>
      <c r="I384" s="65">
        <v>1</v>
      </c>
      <c r="J384" s="69" t="s">
        <v>125</v>
      </c>
      <c r="K384" s="77">
        <v>115</v>
      </c>
      <c r="L384" s="66">
        <f t="shared" si="169"/>
        <v>115</v>
      </c>
      <c r="M384" s="5">
        <f t="shared" si="170"/>
        <v>1774350.3500000003</v>
      </c>
      <c r="N384" s="78" t="s">
        <v>1080</v>
      </c>
      <c r="O384" s="64">
        <v>1</v>
      </c>
      <c r="P384" s="67">
        <f t="shared" si="166"/>
        <v>0</v>
      </c>
      <c r="Q384" s="68" t="s">
        <v>1088</v>
      </c>
      <c r="R384" s="68"/>
    </row>
    <row r="385" spans="1:18" ht="29" x14ac:dyDescent="0.35">
      <c r="A385" s="70">
        <v>44851</v>
      </c>
      <c r="B385" s="51">
        <f t="shared" si="171"/>
        <v>10</v>
      </c>
      <c r="C385" s="11">
        <f t="shared" si="172"/>
        <v>2022</v>
      </c>
      <c r="D385" s="97"/>
      <c r="E385" s="65" t="s">
        <v>686</v>
      </c>
      <c r="F385" s="80" t="s">
        <v>1050</v>
      </c>
      <c r="G385" s="80" t="s">
        <v>1050</v>
      </c>
      <c r="H385" s="83" t="s">
        <v>51</v>
      </c>
      <c r="I385" s="65">
        <v>1</v>
      </c>
      <c r="J385" s="69" t="s">
        <v>978</v>
      </c>
      <c r="K385" s="77">
        <v>195</v>
      </c>
      <c r="L385" s="66">
        <f t="shared" si="169"/>
        <v>195</v>
      </c>
      <c r="M385" s="5">
        <f t="shared" si="170"/>
        <v>1774545.3500000003</v>
      </c>
      <c r="N385" s="78" t="s">
        <v>1080</v>
      </c>
      <c r="O385" s="64">
        <v>1</v>
      </c>
      <c r="P385" s="67">
        <f t="shared" si="166"/>
        <v>0</v>
      </c>
      <c r="Q385" s="68" t="s">
        <v>1089</v>
      </c>
      <c r="R385" s="68"/>
    </row>
    <row r="386" spans="1:18" ht="29" x14ac:dyDescent="0.35">
      <c r="A386" s="70">
        <v>44851</v>
      </c>
      <c r="B386" s="51">
        <f t="shared" ref="B386:B392" si="173">MONTH(A386)</f>
        <v>10</v>
      </c>
      <c r="C386" s="11">
        <f t="shared" ref="C386:C392" si="174">YEAR(A386)</f>
        <v>2022</v>
      </c>
      <c r="D386" s="97"/>
      <c r="E386" s="65" t="s">
        <v>686</v>
      </c>
      <c r="F386" s="80" t="s">
        <v>842</v>
      </c>
      <c r="G386" s="80" t="s">
        <v>842</v>
      </c>
      <c r="H386" s="83" t="s">
        <v>51</v>
      </c>
      <c r="I386" s="65">
        <v>1</v>
      </c>
      <c r="J386" s="69" t="s">
        <v>18</v>
      </c>
      <c r="K386" s="77">
        <v>225</v>
      </c>
      <c r="L386" s="66">
        <f t="shared" si="169"/>
        <v>225</v>
      </c>
      <c r="M386" s="5">
        <f t="shared" si="170"/>
        <v>1774770.3500000003</v>
      </c>
      <c r="N386" s="78" t="s">
        <v>1080</v>
      </c>
      <c r="O386" s="64">
        <v>1</v>
      </c>
      <c r="P386" s="67">
        <f t="shared" si="166"/>
        <v>0</v>
      </c>
      <c r="Q386" s="68" t="s">
        <v>1089</v>
      </c>
      <c r="R386" s="68"/>
    </row>
    <row r="387" spans="1:18" x14ac:dyDescent="0.35">
      <c r="A387" s="70">
        <v>44851</v>
      </c>
      <c r="B387" s="51">
        <f>MONTH(A387)</f>
        <v>10</v>
      </c>
      <c r="C387" s="11">
        <f>YEAR(A387)</f>
        <v>2022</v>
      </c>
      <c r="D387" s="97"/>
      <c r="E387" s="65" t="s">
        <v>158</v>
      </c>
      <c r="F387" s="80" t="s">
        <v>134</v>
      </c>
      <c r="G387" s="80" t="s">
        <v>134</v>
      </c>
      <c r="H387" s="83" t="s">
        <v>51</v>
      </c>
      <c r="I387" s="65">
        <v>1</v>
      </c>
      <c r="J387" s="69" t="s">
        <v>138</v>
      </c>
      <c r="K387" s="77">
        <v>50</v>
      </c>
      <c r="L387" s="66">
        <f t="shared" si="169"/>
        <v>50</v>
      </c>
      <c r="M387" s="5">
        <f t="shared" si="170"/>
        <v>1774820.3500000003</v>
      </c>
      <c r="N387" s="78" t="s">
        <v>1080</v>
      </c>
      <c r="O387" s="64">
        <v>1</v>
      </c>
      <c r="P387" s="67">
        <f t="shared" si="166"/>
        <v>0</v>
      </c>
      <c r="Q387" s="68" t="s">
        <v>1089</v>
      </c>
      <c r="R387" s="68"/>
    </row>
    <row r="388" spans="1:18" x14ac:dyDescent="0.35">
      <c r="A388" s="70">
        <v>44851</v>
      </c>
      <c r="B388" s="51">
        <f>MONTH(A388)</f>
        <v>10</v>
      </c>
      <c r="C388" s="11">
        <f>YEAR(A388)</f>
        <v>2022</v>
      </c>
      <c r="D388" s="97"/>
      <c r="E388" s="65" t="s">
        <v>362</v>
      </c>
      <c r="F388" s="80" t="s">
        <v>675</v>
      </c>
      <c r="G388" s="80" t="s">
        <v>675</v>
      </c>
      <c r="H388" s="83" t="s">
        <v>51</v>
      </c>
      <c r="I388" s="65">
        <v>1</v>
      </c>
      <c r="J388" s="69" t="s">
        <v>18</v>
      </c>
      <c r="K388" s="77">
        <v>370</v>
      </c>
      <c r="L388" s="66">
        <f t="shared" si="169"/>
        <v>370</v>
      </c>
      <c r="M388" s="5">
        <f t="shared" si="170"/>
        <v>1775190.3500000003</v>
      </c>
      <c r="N388" s="78" t="s">
        <v>1080</v>
      </c>
      <c r="O388" s="64">
        <v>1</v>
      </c>
      <c r="P388" s="67">
        <f t="shared" si="166"/>
        <v>0</v>
      </c>
      <c r="Q388" s="68" t="s">
        <v>1090</v>
      </c>
      <c r="R388" s="68"/>
    </row>
    <row r="389" spans="1:18" ht="29" x14ac:dyDescent="0.35">
      <c r="A389" s="70">
        <v>44853</v>
      </c>
      <c r="B389" s="51">
        <f t="shared" si="173"/>
        <v>10</v>
      </c>
      <c r="C389" s="11">
        <f t="shared" si="174"/>
        <v>2022</v>
      </c>
      <c r="D389" s="97"/>
      <c r="E389" s="65" t="s">
        <v>686</v>
      </c>
      <c r="F389" s="80" t="s">
        <v>979</v>
      </c>
      <c r="G389" s="80" t="s">
        <v>979</v>
      </c>
      <c r="H389" s="83" t="s">
        <v>51</v>
      </c>
      <c r="I389" s="65">
        <v>6</v>
      </c>
      <c r="J389" s="69" t="s">
        <v>0</v>
      </c>
      <c r="K389" s="77">
        <v>1606</v>
      </c>
      <c r="L389" s="66">
        <f t="shared" si="169"/>
        <v>9636</v>
      </c>
      <c r="M389" s="5">
        <f t="shared" si="170"/>
        <v>1784826.3500000003</v>
      </c>
      <c r="N389" s="78" t="s">
        <v>1083</v>
      </c>
      <c r="O389" s="64">
        <v>6</v>
      </c>
      <c r="P389" s="67">
        <f t="shared" si="166"/>
        <v>0</v>
      </c>
      <c r="Q389" s="68" t="s">
        <v>1091</v>
      </c>
      <c r="R389" s="68"/>
    </row>
    <row r="390" spans="1:18" ht="29" x14ac:dyDescent="0.35">
      <c r="A390" s="70">
        <v>44853</v>
      </c>
      <c r="B390" s="51">
        <f t="shared" si="173"/>
        <v>10</v>
      </c>
      <c r="C390" s="11">
        <f t="shared" si="174"/>
        <v>2022</v>
      </c>
      <c r="D390" s="97"/>
      <c r="E390" s="65" t="s">
        <v>686</v>
      </c>
      <c r="F390" s="80" t="s">
        <v>687</v>
      </c>
      <c r="G390" s="31" t="s">
        <v>687</v>
      </c>
      <c r="H390" s="83" t="s">
        <v>51</v>
      </c>
      <c r="I390" s="65">
        <v>1</v>
      </c>
      <c r="J390" s="69" t="s">
        <v>0</v>
      </c>
      <c r="K390" s="77">
        <v>1606</v>
      </c>
      <c r="L390" s="66">
        <f t="shared" si="169"/>
        <v>1606</v>
      </c>
      <c r="M390" s="5">
        <f t="shared" si="170"/>
        <v>1786432.3500000003</v>
      </c>
      <c r="N390" s="78" t="s">
        <v>1083</v>
      </c>
      <c r="O390" s="64">
        <v>1</v>
      </c>
      <c r="P390" s="67">
        <f t="shared" si="166"/>
        <v>0</v>
      </c>
      <c r="Q390" s="68" t="s">
        <v>1092</v>
      </c>
      <c r="R390" s="68"/>
    </row>
    <row r="391" spans="1:18" ht="29" x14ac:dyDescent="0.35">
      <c r="A391" s="70">
        <v>44853</v>
      </c>
      <c r="B391" s="51">
        <f t="shared" si="173"/>
        <v>10</v>
      </c>
      <c r="C391" s="11">
        <f t="shared" si="174"/>
        <v>2022</v>
      </c>
      <c r="D391" s="97"/>
      <c r="E391" s="65" t="s">
        <v>686</v>
      </c>
      <c r="F391" s="80" t="s">
        <v>791</v>
      </c>
      <c r="G391" s="31" t="s">
        <v>791</v>
      </c>
      <c r="H391" s="83" t="s">
        <v>51</v>
      </c>
      <c r="I391" s="65">
        <v>3</v>
      </c>
      <c r="J391" s="69" t="s">
        <v>1</v>
      </c>
      <c r="K391" s="77">
        <v>388.8</v>
      </c>
      <c r="L391" s="66">
        <f t="shared" si="169"/>
        <v>1166.4000000000001</v>
      </c>
      <c r="M391" s="5">
        <f t="shared" si="170"/>
        <v>1787598.7500000002</v>
      </c>
      <c r="N391" s="78" t="s">
        <v>1083</v>
      </c>
      <c r="O391" s="64">
        <v>3</v>
      </c>
      <c r="P391" s="67">
        <f t="shared" si="166"/>
        <v>0</v>
      </c>
      <c r="Q391" s="68" t="s">
        <v>1093</v>
      </c>
      <c r="R391" s="68"/>
    </row>
    <row r="392" spans="1:18" ht="29" x14ac:dyDescent="0.35">
      <c r="A392" s="70">
        <v>44861</v>
      </c>
      <c r="B392" s="51">
        <f t="shared" si="173"/>
        <v>10</v>
      </c>
      <c r="C392" s="11">
        <f t="shared" si="174"/>
        <v>2022</v>
      </c>
      <c r="D392" s="97"/>
      <c r="E392" s="65" t="s">
        <v>686</v>
      </c>
      <c r="F392" s="80" t="s">
        <v>1098</v>
      </c>
      <c r="G392" s="80" t="s">
        <v>1098</v>
      </c>
      <c r="H392" s="83" t="s">
        <v>51</v>
      </c>
      <c r="I392" s="65">
        <v>30</v>
      </c>
      <c r="J392" s="69" t="s">
        <v>1</v>
      </c>
      <c r="K392" s="77">
        <v>213</v>
      </c>
      <c r="L392" s="66">
        <f t="shared" si="169"/>
        <v>6390</v>
      </c>
      <c r="M392" s="5">
        <f t="shared" si="170"/>
        <v>1793988.7500000002</v>
      </c>
      <c r="N392" s="78" t="s">
        <v>1087</v>
      </c>
      <c r="O392" s="64">
        <f>30</f>
        <v>30</v>
      </c>
      <c r="P392" s="67">
        <f t="shared" si="166"/>
        <v>0</v>
      </c>
      <c r="Q392" s="68" t="s">
        <v>1094</v>
      </c>
      <c r="R392" s="68"/>
    </row>
    <row r="393" spans="1:18" ht="29" x14ac:dyDescent="0.35">
      <c r="A393" s="70">
        <v>44861</v>
      </c>
      <c r="B393" s="51">
        <f t="shared" ref="B393:B396" si="175">MONTH(A393)</f>
        <v>10</v>
      </c>
      <c r="C393" s="11">
        <f t="shared" ref="C393:C396" si="176">YEAR(A393)</f>
        <v>2022</v>
      </c>
      <c r="D393" s="97"/>
      <c r="E393" s="65" t="s">
        <v>686</v>
      </c>
      <c r="F393" s="80" t="s">
        <v>1085</v>
      </c>
      <c r="G393" s="80" t="s">
        <v>1085</v>
      </c>
      <c r="H393" s="83" t="s">
        <v>51</v>
      </c>
      <c r="I393" s="65">
        <v>15</v>
      </c>
      <c r="J393" s="69" t="s">
        <v>1</v>
      </c>
      <c r="K393" s="77">
        <v>206</v>
      </c>
      <c r="L393" s="66">
        <f t="shared" si="169"/>
        <v>3090</v>
      </c>
      <c r="M393" s="5">
        <f t="shared" si="170"/>
        <v>1797078.7500000002</v>
      </c>
      <c r="N393" s="78" t="s">
        <v>1087</v>
      </c>
      <c r="O393" s="64">
        <v>15</v>
      </c>
      <c r="P393" s="67">
        <f t="shared" si="166"/>
        <v>0</v>
      </c>
      <c r="Q393" s="68" t="s">
        <v>1095</v>
      </c>
      <c r="R393" s="68"/>
    </row>
    <row r="394" spans="1:18" ht="29" x14ac:dyDescent="0.35">
      <c r="A394" s="70">
        <v>44861</v>
      </c>
      <c r="B394" s="51">
        <f t="shared" si="175"/>
        <v>10</v>
      </c>
      <c r="C394" s="11">
        <f t="shared" si="176"/>
        <v>2022</v>
      </c>
      <c r="D394" s="97"/>
      <c r="E394" s="65" t="s">
        <v>686</v>
      </c>
      <c r="F394" s="80" t="s">
        <v>880</v>
      </c>
      <c r="G394" s="80" t="s">
        <v>880</v>
      </c>
      <c r="H394" s="83" t="s">
        <v>51</v>
      </c>
      <c r="I394" s="65">
        <v>10</v>
      </c>
      <c r="J394" s="69" t="s">
        <v>217</v>
      </c>
      <c r="K394" s="77">
        <v>32.5</v>
      </c>
      <c r="L394" s="66">
        <f t="shared" si="169"/>
        <v>325</v>
      </c>
      <c r="M394" s="5">
        <f t="shared" si="170"/>
        <v>1797403.7500000002</v>
      </c>
      <c r="N394" s="78" t="s">
        <v>1087</v>
      </c>
      <c r="O394" s="64">
        <v>10</v>
      </c>
      <c r="P394" s="67">
        <f t="shared" si="166"/>
        <v>0</v>
      </c>
      <c r="Q394" s="68" t="s">
        <v>1096</v>
      </c>
      <c r="R394" s="68"/>
    </row>
    <row r="395" spans="1:18" ht="29" x14ac:dyDescent="0.35">
      <c r="A395" s="70">
        <v>44862</v>
      </c>
      <c r="B395" s="51">
        <f t="shared" si="175"/>
        <v>10</v>
      </c>
      <c r="C395" s="11">
        <f t="shared" si="176"/>
        <v>2022</v>
      </c>
      <c r="D395" s="97"/>
      <c r="E395" s="65" t="s">
        <v>686</v>
      </c>
      <c r="F395" s="80" t="s">
        <v>979</v>
      </c>
      <c r="G395" s="80" t="s">
        <v>979</v>
      </c>
      <c r="H395" s="83" t="s">
        <v>51</v>
      </c>
      <c r="I395" s="65">
        <v>10</v>
      </c>
      <c r="J395" s="69" t="s">
        <v>0</v>
      </c>
      <c r="K395" s="77">
        <v>1606</v>
      </c>
      <c r="L395" s="66">
        <f t="shared" si="169"/>
        <v>16060</v>
      </c>
      <c r="M395" s="5">
        <f t="shared" si="170"/>
        <v>1813463.7500000002</v>
      </c>
      <c r="N395" s="78" t="s">
        <v>1106</v>
      </c>
      <c r="O395" s="64">
        <v>10</v>
      </c>
      <c r="P395" s="67">
        <f t="shared" si="166"/>
        <v>0</v>
      </c>
      <c r="Q395" s="68" t="s">
        <v>1097</v>
      </c>
      <c r="R395" s="68"/>
    </row>
    <row r="396" spans="1:18" ht="87" x14ac:dyDescent="0.35">
      <c r="A396" s="70">
        <v>44862</v>
      </c>
      <c r="B396" s="51">
        <f t="shared" si="175"/>
        <v>10</v>
      </c>
      <c r="C396" s="11">
        <f t="shared" si="176"/>
        <v>2022</v>
      </c>
      <c r="D396" s="97" t="s">
        <v>1101</v>
      </c>
      <c r="E396" s="65" t="s">
        <v>686</v>
      </c>
      <c r="F396" s="80" t="s">
        <v>979</v>
      </c>
      <c r="G396" s="80" t="s">
        <v>979</v>
      </c>
      <c r="H396" s="83" t="s">
        <v>47</v>
      </c>
      <c r="I396" s="65">
        <v>20</v>
      </c>
      <c r="J396" s="69" t="s">
        <v>0</v>
      </c>
      <c r="K396" s="77">
        <v>1606</v>
      </c>
      <c r="L396" s="66">
        <f t="shared" si="169"/>
        <v>32120</v>
      </c>
      <c r="M396" s="5">
        <f t="shared" si="170"/>
        <v>1845583.7500000002</v>
      </c>
      <c r="N396" s="86" t="s">
        <v>1151</v>
      </c>
      <c r="O396" s="64">
        <f>5+5+2+5+2+1</f>
        <v>20</v>
      </c>
      <c r="P396" s="67">
        <f t="shared" si="166"/>
        <v>0</v>
      </c>
      <c r="Q396" s="68" t="s">
        <v>1152</v>
      </c>
      <c r="R396" s="68"/>
    </row>
    <row r="397" spans="1:18" ht="58" x14ac:dyDescent="0.35">
      <c r="A397" s="70">
        <v>44862</v>
      </c>
      <c r="B397" s="51">
        <f t="shared" ref="B397:B402" si="177">MONTH(A397)</f>
        <v>10</v>
      </c>
      <c r="C397" s="11">
        <f t="shared" ref="C397:C402" si="178">YEAR(A397)</f>
        <v>2022</v>
      </c>
      <c r="D397" s="97" t="s">
        <v>1102</v>
      </c>
      <c r="E397" s="65" t="s">
        <v>686</v>
      </c>
      <c r="F397" s="80" t="s">
        <v>1098</v>
      </c>
      <c r="G397" s="31" t="s">
        <v>1098</v>
      </c>
      <c r="H397" s="83" t="s">
        <v>47</v>
      </c>
      <c r="I397" s="65">
        <v>18</v>
      </c>
      <c r="J397" s="69" t="s">
        <v>1</v>
      </c>
      <c r="K397" s="77">
        <v>213</v>
      </c>
      <c r="L397" s="66">
        <f t="shared" si="169"/>
        <v>3834</v>
      </c>
      <c r="M397" s="5">
        <f t="shared" si="170"/>
        <v>1849417.7500000002</v>
      </c>
      <c r="N397" s="86" t="s">
        <v>1126</v>
      </c>
      <c r="O397" s="64">
        <f>2+5+4+7</f>
        <v>18</v>
      </c>
      <c r="P397" s="67">
        <f t="shared" si="166"/>
        <v>0</v>
      </c>
      <c r="Q397" s="68" t="s">
        <v>1125</v>
      </c>
      <c r="R397" s="68"/>
    </row>
    <row r="398" spans="1:18" ht="29" x14ac:dyDescent="0.35">
      <c r="A398" s="70">
        <v>44862</v>
      </c>
      <c r="B398" s="51">
        <f t="shared" ref="B398" si="179">MONTH(A398)</f>
        <v>10</v>
      </c>
      <c r="C398" s="11">
        <f t="shared" ref="C398" si="180">YEAR(A398)</f>
        <v>2022</v>
      </c>
      <c r="D398" s="97" t="s">
        <v>1102</v>
      </c>
      <c r="E398" s="65" t="s">
        <v>686</v>
      </c>
      <c r="F398" s="80" t="s">
        <v>1150</v>
      </c>
      <c r="G398" s="80" t="s">
        <v>1150</v>
      </c>
      <c r="H398" s="83" t="s">
        <v>51</v>
      </c>
      <c r="I398" s="65">
        <v>10</v>
      </c>
      <c r="J398" s="69" t="s">
        <v>1</v>
      </c>
      <c r="K398" s="77">
        <v>206</v>
      </c>
      <c r="L398" s="66">
        <f t="shared" si="169"/>
        <v>2060</v>
      </c>
      <c r="M398" s="5">
        <f t="shared" si="170"/>
        <v>1851477.7500000002</v>
      </c>
      <c r="N398" s="78" t="s">
        <v>1153</v>
      </c>
      <c r="O398" s="64">
        <f>6</f>
        <v>6</v>
      </c>
      <c r="P398" s="67">
        <f t="shared" si="166"/>
        <v>4</v>
      </c>
      <c r="Q398" s="68" t="s">
        <v>1154</v>
      </c>
      <c r="R398" s="68"/>
    </row>
    <row r="399" spans="1:18" ht="29" x14ac:dyDescent="0.35">
      <c r="A399" s="70">
        <v>44862</v>
      </c>
      <c r="B399" s="51">
        <f t="shared" ref="B399:B400" si="181">MONTH(A399)</f>
        <v>10</v>
      </c>
      <c r="C399" s="11">
        <f t="shared" ref="C399:C400" si="182">YEAR(A399)</f>
        <v>2022</v>
      </c>
      <c r="D399" s="97" t="s">
        <v>1102</v>
      </c>
      <c r="E399" s="65" t="s">
        <v>686</v>
      </c>
      <c r="F399" s="80" t="s">
        <v>880</v>
      </c>
      <c r="G399" s="31" t="s">
        <v>880</v>
      </c>
      <c r="H399" s="83" t="s">
        <v>47</v>
      </c>
      <c r="I399" s="65">
        <v>30</v>
      </c>
      <c r="J399" s="69" t="s">
        <v>217</v>
      </c>
      <c r="K399" s="77">
        <v>32.5</v>
      </c>
      <c r="L399" s="66">
        <f t="shared" si="169"/>
        <v>975</v>
      </c>
      <c r="M399" s="5">
        <f t="shared" si="170"/>
        <v>1852452.7500000002</v>
      </c>
      <c r="N399" s="86" t="s">
        <v>1176</v>
      </c>
      <c r="O399" s="64">
        <f>5+5</f>
        <v>10</v>
      </c>
      <c r="P399" s="67">
        <f t="shared" si="166"/>
        <v>20</v>
      </c>
      <c r="Q399" s="68" t="s">
        <v>1177</v>
      </c>
      <c r="R399" s="68"/>
    </row>
    <row r="400" spans="1:18" ht="29" x14ac:dyDescent="0.35">
      <c r="A400" s="70">
        <v>44862</v>
      </c>
      <c r="B400" s="51">
        <f t="shared" si="181"/>
        <v>10</v>
      </c>
      <c r="C400" s="11">
        <f t="shared" si="182"/>
        <v>2022</v>
      </c>
      <c r="D400" s="97" t="s">
        <v>1103</v>
      </c>
      <c r="E400" s="65" t="s">
        <v>686</v>
      </c>
      <c r="F400" s="80" t="s">
        <v>1098</v>
      </c>
      <c r="G400" s="31" t="s">
        <v>1098</v>
      </c>
      <c r="H400" s="83" t="s">
        <v>47</v>
      </c>
      <c r="I400" s="65">
        <v>16</v>
      </c>
      <c r="J400" s="69" t="s">
        <v>1</v>
      </c>
      <c r="K400" s="77">
        <v>213</v>
      </c>
      <c r="L400" s="66">
        <f t="shared" si="169"/>
        <v>3408</v>
      </c>
      <c r="M400" s="5">
        <f t="shared" si="170"/>
        <v>1855860.7500000002</v>
      </c>
      <c r="N400" s="86" t="s">
        <v>1158</v>
      </c>
      <c r="O400" s="64">
        <f>5+11</f>
        <v>16</v>
      </c>
      <c r="P400" s="67">
        <f t="shared" si="166"/>
        <v>0</v>
      </c>
      <c r="Q400" s="68" t="s">
        <v>1160</v>
      </c>
      <c r="R400" s="68"/>
    </row>
    <row r="401" spans="1:18" ht="43.5" x14ac:dyDescent="0.35">
      <c r="A401" s="70">
        <v>44862</v>
      </c>
      <c r="B401" s="51">
        <f t="shared" si="177"/>
        <v>10</v>
      </c>
      <c r="C401" s="11">
        <f t="shared" si="178"/>
        <v>2022</v>
      </c>
      <c r="D401" s="97" t="s">
        <v>1103</v>
      </c>
      <c r="E401" s="65" t="s">
        <v>686</v>
      </c>
      <c r="F401" s="80" t="s">
        <v>791</v>
      </c>
      <c r="G401" s="80" t="s">
        <v>791</v>
      </c>
      <c r="H401" s="83" t="s">
        <v>47</v>
      </c>
      <c r="I401" s="65">
        <v>16</v>
      </c>
      <c r="J401" s="69" t="s">
        <v>1</v>
      </c>
      <c r="K401" s="77">
        <v>383.4</v>
      </c>
      <c r="L401" s="66">
        <f t="shared" si="169"/>
        <v>6134.4</v>
      </c>
      <c r="M401" s="5">
        <f t="shared" si="170"/>
        <v>1861995.1500000001</v>
      </c>
      <c r="N401" s="86" t="s">
        <v>1143</v>
      </c>
      <c r="O401" s="64">
        <f>1+2+2</f>
        <v>5</v>
      </c>
      <c r="P401" s="67">
        <f t="shared" si="166"/>
        <v>11</v>
      </c>
      <c r="Q401" s="68" t="s">
        <v>1144</v>
      </c>
      <c r="R401" s="68"/>
    </row>
    <row r="402" spans="1:18" ht="29" x14ac:dyDescent="0.35">
      <c r="A402" s="70">
        <v>44865</v>
      </c>
      <c r="B402" s="51">
        <f t="shared" si="177"/>
        <v>10</v>
      </c>
      <c r="C402" s="11">
        <f t="shared" si="178"/>
        <v>2022</v>
      </c>
      <c r="D402" s="97" t="s">
        <v>1104</v>
      </c>
      <c r="E402" s="65" t="s">
        <v>686</v>
      </c>
      <c r="F402" s="80" t="s">
        <v>1105</v>
      </c>
      <c r="G402" s="80" t="s">
        <v>1105</v>
      </c>
      <c r="H402" s="83" t="s">
        <v>51</v>
      </c>
      <c r="I402" s="65">
        <v>1</v>
      </c>
      <c r="J402" s="69" t="s">
        <v>18</v>
      </c>
      <c r="K402" s="77">
        <v>225</v>
      </c>
      <c r="L402" s="66">
        <f t="shared" si="169"/>
        <v>225</v>
      </c>
      <c r="M402" s="5">
        <f t="shared" si="170"/>
        <v>1862220.1500000001</v>
      </c>
      <c r="N402" s="78" t="s">
        <v>1179</v>
      </c>
      <c r="O402" s="64">
        <v>1</v>
      </c>
      <c r="P402" s="67">
        <f t="shared" si="166"/>
        <v>0</v>
      </c>
      <c r="Q402" s="68" t="s">
        <v>1107</v>
      </c>
      <c r="R402" s="68"/>
    </row>
    <row r="403" spans="1:18" x14ac:dyDescent="0.35">
      <c r="A403" s="70">
        <v>44865</v>
      </c>
      <c r="B403" s="51">
        <f t="shared" ref="B403" si="183">MONTH(A403)</f>
        <v>10</v>
      </c>
      <c r="C403" s="11">
        <f t="shared" ref="C403" si="184">YEAR(A403)</f>
        <v>2022</v>
      </c>
      <c r="D403" s="97" t="s">
        <v>1104</v>
      </c>
      <c r="E403" s="65" t="s">
        <v>686</v>
      </c>
      <c r="F403" s="80" t="s">
        <v>1049</v>
      </c>
      <c r="G403" s="80" t="s">
        <v>1049</v>
      </c>
      <c r="H403" s="83" t="s">
        <v>51</v>
      </c>
      <c r="I403" s="65">
        <v>4</v>
      </c>
      <c r="J403" s="69" t="s">
        <v>1171</v>
      </c>
      <c r="K403" s="77">
        <v>30</v>
      </c>
      <c r="L403" s="66">
        <f t="shared" si="169"/>
        <v>120</v>
      </c>
      <c r="M403" s="5">
        <f t="shared" si="170"/>
        <v>1862340.1500000001</v>
      </c>
      <c r="N403" s="78" t="s">
        <v>1178</v>
      </c>
      <c r="O403" s="64">
        <v>4</v>
      </c>
      <c r="P403" s="67">
        <f t="shared" si="166"/>
        <v>0</v>
      </c>
      <c r="Q403" s="68" t="s">
        <v>1180</v>
      </c>
      <c r="R403" s="68"/>
    </row>
    <row r="404" spans="1:18" ht="29" x14ac:dyDescent="0.35">
      <c r="A404" s="79" t="s">
        <v>1108</v>
      </c>
      <c r="B404" s="51">
        <f t="shared" ref="B404" si="185">MONTH(A404)</f>
        <v>11</v>
      </c>
      <c r="C404" s="11">
        <f t="shared" ref="C404" si="186">YEAR(A404)</f>
        <v>2022</v>
      </c>
      <c r="D404" s="97" t="s">
        <v>1109</v>
      </c>
      <c r="E404" s="65" t="s">
        <v>686</v>
      </c>
      <c r="F404" s="80" t="s">
        <v>687</v>
      </c>
      <c r="G404" s="31" t="s">
        <v>687</v>
      </c>
      <c r="H404" s="83" t="s">
        <v>51</v>
      </c>
      <c r="I404" s="65">
        <v>1</v>
      </c>
      <c r="J404" s="69" t="s">
        <v>0</v>
      </c>
      <c r="K404" s="77">
        <v>1606</v>
      </c>
      <c r="L404" s="66">
        <f t="shared" si="169"/>
        <v>1606</v>
      </c>
      <c r="M404" s="5">
        <f t="shared" si="170"/>
        <v>1863946.1500000001</v>
      </c>
      <c r="N404" s="78" t="s">
        <v>1108</v>
      </c>
      <c r="O404" s="64">
        <f>1</f>
        <v>1</v>
      </c>
      <c r="P404" s="67">
        <f t="shared" si="166"/>
        <v>0</v>
      </c>
      <c r="Q404" s="68" t="s">
        <v>1110</v>
      </c>
      <c r="R404" s="68"/>
    </row>
    <row r="405" spans="1:18" ht="29" x14ac:dyDescent="0.35">
      <c r="A405" s="70">
        <v>44869</v>
      </c>
      <c r="B405" s="51">
        <f t="shared" ref="B405:B406" si="187">MONTH(A405)</f>
        <v>11</v>
      </c>
      <c r="C405" s="11">
        <f t="shared" ref="C405:C406" si="188">YEAR(A405)</f>
        <v>2022</v>
      </c>
      <c r="D405" s="97"/>
      <c r="E405" s="65" t="s">
        <v>429</v>
      </c>
      <c r="F405" s="80" t="s">
        <v>763</v>
      </c>
      <c r="G405" s="31" t="s">
        <v>763</v>
      </c>
      <c r="H405" s="83" t="s">
        <v>51</v>
      </c>
      <c r="I405" s="65">
        <v>8</v>
      </c>
      <c r="J405" s="69" t="s">
        <v>25</v>
      </c>
      <c r="K405" s="77">
        <v>52.5</v>
      </c>
      <c r="L405" s="66">
        <f t="shared" si="169"/>
        <v>420</v>
      </c>
      <c r="M405" s="5">
        <f t="shared" si="170"/>
        <v>1864366.1500000001</v>
      </c>
      <c r="N405" s="86" t="s">
        <v>1141</v>
      </c>
      <c r="O405" s="64">
        <f>4+4</f>
        <v>8</v>
      </c>
      <c r="P405" s="67">
        <f t="shared" si="166"/>
        <v>0</v>
      </c>
      <c r="Q405" s="68" t="s">
        <v>1142</v>
      </c>
      <c r="R405" s="68"/>
    </row>
    <row r="406" spans="1:18" ht="29" x14ac:dyDescent="0.35">
      <c r="A406" s="70">
        <v>44869</v>
      </c>
      <c r="B406" s="51">
        <f t="shared" si="187"/>
        <v>11</v>
      </c>
      <c r="C406" s="11">
        <f t="shared" si="188"/>
        <v>2022</v>
      </c>
      <c r="D406" s="97" t="s">
        <v>1113</v>
      </c>
      <c r="E406" s="65" t="s">
        <v>686</v>
      </c>
      <c r="F406" s="80" t="s">
        <v>1114</v>
      </c>
      <c r="G406" s="80" t="s">
        <v>1114</v>
      </c>
      <c r="H406" s="83" t="s">
        <v>51</v>
      </c>
      <c r="I406" s="65">
        <v>1</v>
      </c>
      <c r="J406" s="69" t="s">
        <v>18</v>
      </c>
      <c r="K406" s="77">
        <v>166</v>
      </c>
      <c r="L406" s="66">
        <f t="shared" si="169"/>
        <v>166</v>
      </c>
      <c r="M406" s="5">
        <f t="shared" si="170"/>
        <v>1864532.1500000001</v>
      </c>
      <c r="N406" s="78" t="s">
        <v>1120</v>
      </c>
      <c r="O406" s="64">
        <v>1</v>
      </c>
      <c r="P406" s="67">
        <f t="shared" si="166"/>
        <v>0</v>
      </c>
      <c r="Q406" s="68" t="s">
        <v>1121</v>
      </c>
      <c r="R406" s="68"/>
    </row>
    <row r="407" spans="1:18" ht="29" x14ac:dyDescent="0.35">
      <c r="A407" s="70">
        <v>44869</v>
      </c>
      <c r="B407" s="51">
        <f t="shared" ref="B407:B413" si="189">MONTH(A407)</f>
        <v>11</v>
      </c>
      <c r="C407" s="11">
        <f t="shared" ref="C407:C413" si="190">YEAR(A407)</f>
        <v>2022</v>
      </c>
      <c r="D407" s="97" t="s">
        <v>1113</v>
      </c>
      <c r="E407" s="65" t="s">
        <v>686</v>
      </c>
      <c r="F407" s="80" t="s">
        <v>791</v>
      </c>
      <c r="G407" s="31" t="s">
        <v>791</v>
      </c>
      <c r="H407" s="83" t="s">
        <v>51</v>
      </c>
      <c r="I407" s="65">
        <v>1</v>
      </c>
      <c r="J407" s="69" t="s">
        <v>1</v>
      </c>
      <c r="K407" s="77">
        <v>383.4</v>
      </c>
      <c r="L407" s="66">
        <f t="shared" si="169"/>
        <v>383.4</v>
      </c>
      <c r="M407" s="5">
        <f t="shared" si="170"/>
        <v>1864915.55</v>
      </c>
      <c r="N407" s="78" t="s">
        <v>1120</v>
      </c>
      <c r="O407" s="64">
        <v>1</v>
      </c>
      <c r="P407" s="67">
        <f t="shared" si="166"/>
        <v>0</v>
      </c>
      <c r="Q407" s="68" t="s">
        <v>1121</v>
      </c>
      <c r="R407" s="68"/>
    </row>
    <row r="408" spans="1:18" x14ac:dyDescent="0.35">
      <c r="A408" s="70">
        <v>44872</v>
      </c>
      <c r="B408" s="51">
        <f t="shared" si="189"/>
        <v>11</v>
      </c>
      <c r="C408" s="11">
        <f t="shared" si="190"/>
        <v>2022</v>
      </c>
      <c r="D408" s="97" t="s">
        <v>1117</v>
      </c>
      <c r="E408" s="65" t="s">
        <v>686</v>
      </c>
      <c r="F408" s="80" t="s">
        <v>748</v>
      </c>
      <c r="G408" s="80" t="s">
        <v>748</v>
      </c>
      <c r="H408" s="83" t="s">
        <v>51</v>
      </c>
      <c r="I408" s="65">
        <v>1</v>
      </c>
      <c r="J408" s="69" t="s">
        <v>0</v>
      </c>
      <c r="K408" s="77">
        <v>896.5</v>
      </c>
      <c r="L408" s="66">
        <f t="shared" si="169"/>
        <v>896.5</v>
      </c>
      <c r="M408" s="5">
        <f t="shared" si="170"/>
        <v>1865812.05</v>
      </c>
      <c r="N408" s="78" t="s">
        <v>1134</v>
      </c>
      <c r="O408" s="64">
        <v>1</v>
      </c>
      <c r="P408" s="67">
        <f t="shared" si="166"/>
        <v>0</v>
      </c>
      <c r="Q408" s="68" t="s">
        <v>1122</v>
      </c>
      <c r="R408" s="68"/>
    </row>
    <row r="409" spans="1:18" ht="29" x14ac:dyDescent="0.35">
      <c r="A409" s="70">
        <v>44872</v>
      </c>
      <c r="B409" s="51">
        <f t="shared" si="189"/>
        <v>11</v>
      </c>
      <c r="C409" s="11">
        <f t="shared" si="190"/>
        <v>2022</v>
      </c>
      <c r="D409" s="97" t="s">
        <v>1117</v>
      </c>
      <c r="E409" s="65" t="s">
        <v>686</v>
      </c>
      <c r="F409" s="80" t="s">
        <v>856</v>
      </c>
      <c r="G409" s="80" t="s">
        <v>856</v>
      </c>
      <c r="H409" s="83" t="s">
        <v>51</v>
      </c>
      <c r="I409" s="65">
        <v>1</v>
      </c>
      <c r="J409" s="69" t="s">
        <v>18</v>
      </c>
      <c r="K409" s="77">
        <v>120</v>
      </c>
      <c r="L409" s="66">
        <f t="shared" si="169"/>
        <v>120</v>
      </c>
      <c r="M409" s="5">
        <f t="shared" si="170"/>
        <v>1865932.05</v>
      </c>
      <c r="N409" s="78" t="s">
        <v>1134</v>
      </c>
      <c r="O409" s="64">
        <v>1</v>
      </c>
      <c r="P409" s="67">
        <f t="shared" si="166"/>
        <v>0</v>
      </c>
      <c r="Q409" s="68" t="s">
        <v>1122</v>
      </c>
      <c r="R409" s="68"/>
    </row>
    <row r="410" spans="1:18" ht="29" x14ac:dyDescent="0.35">
      <c r="A410" s="70">
        <v>44874</v>
      </c>
      <c r="B410" s="51">
        <f t="shared" si="189"/>
        <v>11</v>
      </c>
      <c r="C410" s="11">
        <f t="shared" si="190"/>
        <v>2022</v>
      </c>
      <c r="D410" s="97" t="s">
        <v>1118</v>
      </c>
      <c r="E410" s="65" t="s">
        <v>686</v>
      </c>
      <c r="F410" s="80" t="s">
        <v>1115</v>
      </c>
      <c r="G410" s="80" t="s">
        <v>1115</v>
      </c>
      <c r="H410" s="83" t="s">
        <v>51</v>
      </c>
      <c r="I410" s="65">
        <v>4</v>
      </c>
      <c r="J410" s="69" t="s">
        <v>18</v>
      </c>
      <c r="K410" s="77">
        <v>186.75</v>
      </c>
      <c r="L410" s="66">
        <f t="shared" si="169"/>
        <v>747</v>
      </c>
      <c r="M410" s="5">
        <f t="shared" si="170"/>
        <v>1866679.05</v>
      </c>
      <c r="N410" s="78" t="s">
        <v>1135</v>
      </c>
      <c r="O410" s="64">
        <v>4</v>
      </c>
      <c r="P410" s="67">
        <f t="shared" si="166"/>
        <v>0</v>
      </c>
      <c r="Q410" s="68" t="s">
        <v>1123</v>
      </c>
      <c r="R410" s="68"/>
    </row>
    <row r="411" spans="1:18" ht="29" x14ac:dyDescent="0.35">
      <c r="A411" s="70">
        <v>44874</v>
      </c>
      <c r="B411" s="51">
        <f t="shared" si="189"/>
        <v>11</v>
      </c>
      <c r="C411" s="11">
        <f t="shared" si="190"/>
        <v>2022</v>
      </c>
      <c r="D411" s="97" t="s">
        <v>1118</v>
      </c>
      <c r="E411" s="65" t="s">
        <v>686</v>
      </c>
      <c r="F411" s="80" t="s">
        <v>1116</v>
      </c>
      <c r="G411" s="80" t="s">
        <v>1116</v>
      </c>
      <c r="H411" s="83" t="s">
        <v>51</v>
      </c>
      <c r="I411" s="65">
        <v>4</v>
      </c>
      <c r="J411" s="69" t="s">
        <v>18</v>
      </c>
      <c r="K411" s="77">
        <v>348.75</v>
      </c>
      <c r="L411" s="66">
        <f t="shared" si="169"/>
        <v>1395</v>
      </c>
      <c r="M411" s="5">
        <f t="shared" si="170"/>
        <v>1868074.05</v>
      </c>
      <c r="N411" s="78" t="s">
        <v>1135</v>
      </c>
      <c r="O411" s="64">
        <v>4</v>
      </c>
      <c r="P411" s="67">
        <f t="shared" si="166"/>
        <v>0</v>
      </c>
      <c r="Q411" s="68" t="s">
        <v>1123</v>
      </c>
      <c r="R411" s="68"/>
    </row>
    <row r="412" spans="1:18" ht="29" x14ac:dyDescent="0.35">
      <c r="A412" s="70">
        <v>44874</v>
      </c>
      <c r="B412" s="51">
        <f t="shared" si="189"/>
        <v>11</v>
      </c>
      <c r="C412" s="11">
        <f t="shared" si="190"/>
        <v>2022</v>
      </c>
      <c r="D412" s="97" t="s">
        <v>1118</v>
      </c>
      <c r="E412" s="65" t="s">
        <v>686</v>
      </c>
      <c r="F412" s="80" t="s">
        <v>1098</v>
      </c>
      <c r="G412" s="80" t="s">
        <v>1098</v>
      </c>
      <c r="H412" s="83" t="s">
        <v>51</v>
      </c>
      <c r="I412" s="65">
        <v>3</v>
      </c>
      <c r="J412" s="69" t="s">
        <v>1</v>
      </c>
      <c r="K412" s="77">
        <v>213</v>
      </c>
      <c r="L412" s="66">
        <f t="shared" si="169"/>
        <v>639</v>
      </c>
      <c r="M412" s="5">
        <f t="shared" si="170"/>
        <v>1868713.05</v>
      </c>
      <c r="N412" s="78" t="s">
        <v>1135</v>
      </c>
      <c r="O412" s="64">
        <v>3</v>
      </c>
      <c r="P412" s="67">
        <f t="shared" si="166"/>
        <v>0</v>
      </c>
      <c r="Q412" s="68" t="s">
        <v>1124</v>
      </c>
      <c r="R412" s="68"/>
    </row>
    <row r="413" spans="1:18" ht="29" x14ac:dyDescent="0.35">
      <c r="A413" s="70">
        <v>44879</v>
      </c>
      <c r="B413" s="51">
        <f t="shared" si="189"/>
        <v>11</v>
      </c>
      <c r="C413" s="11">
        <f t="shared" si="190"/>
        <v>2022</v>
      </c>
      <c r="D413" s="97" t="s">
        <v>1119</v>
      </c>
      <c r="E413" s="65" t="s">
        <v>686</v>
      </c>
      <c r="F413" s="80" t="s">
        <v>958</v>
      </c>
      <c r="G413" s="80" t="s">
        <v>958</v>
      </c>
      <c r="H413" s="83" t="s">
        <v>51</v>
      </c>
      <c r="I413" s="65">
        <v>4</v>
      </c>
      <c r="J413" s="69" t="s">
        <v>18</v>
      </c>
      <c r="K413" s="77">
        <v>115</v>
      </c>
      <c r="L413" s="66">
        <f t="shared" si="169"/>
        <v>460</v>
      </c>
      <c r="M413" s="5">
        <f t="shared" si="170"/>
        <v>1869173.05</v>
      </c>
      <c r="N413" s="78" t="s">
        <v>1129</v>
      </c>
      <c r="O413" s="64">
        <v>4</v>
      </c>
      <c r="P413" s="67">
        <f t="shared" si="166"/>
        <v>0</v>
      </c>
      <c r="Q413" s="68" t="s">
        <v>1136</v>
      </c>
      <c r="R413" s="68"/>
    </row>
    <row r="414" spans="1:18" x14ac:dyDescent="0.35">
      <c r="A414" s="70">
        <v>44879</v>
      </c>
      <c r="B414" s="51">
        <f t="shared" ref="B414:B420" si="191">MONTH(A414)</f>
        <v>11</v>
      </c>
      <c r="C414" s="11">
        <f t="shared" ref="C414:C420" si="192">YEAR(A414)</f>
        <v>2022</v>
      </c>
      <c r="D414" s="97" t="s">
        <v>1119</v>
      </c>
      <c r="E414" s="65" t="s">
        <v>686</v>
      </c>
      <c r="F414" s="80" t="s">
        <v>748</v>
      </c>
      <c r="G414" s="80" t="s">
        <v>748</v>
      </c>
      <c r="H414" s="83" t="s">
        <v>51</v>
      </c>
      <c r="I414" s="65">
        <v>1</v>
      </c>
      <c r="J414" s="69" t="s">
        <v>0</v>
      </c>
      <c r="K414" s="77">
        <v>896.5</v>
      </c>
      <c r="L414" s="66">
        <f t="shared" si="169"/>
        <v>896.5</v>
      </c>
      <c r="M414" s="5">
        <f t="shared" si="170"/>
        <v>1870069.55</v>
      </c>
      <c r="N414" s="78" t="s">
        <v>1129</v>
      </c>
      <c r="O414" s="64">
        <v>1</v>
      </c>
      <c r="P414" s="67">
        <f t="shared" si="166"/>
        <v>0</v>
      </c>
      <c r="Q414" s="68" t="s">
        <v>1137</v>
      </c>
      <c r="R414" s="68"/>
    </row>
    <row r="415" spans="1:18" ht="29" x14ac:dyDescent="0.35">
      <c r="A415" s="70">
        <v>44879</v>
      </c>
      <c r="B415" s="51">
        <f t="shared" si="191"/>
        <v>11</v>
      </c>
      <c r="C415" s="11">
        <f t="shared" si="192"/>
        <v>2022</v>
      </c>
      <c r="D415" s="97" t="s">
        <v>1119</v>
      </c>
      <c r="E415" s="65" t="s">
        <v>686</v>
      </c>
      <c r="F415" s="80" t="s">
        <v>842</v>
      </c>
      <c r="G415" s="80" t="s">
        <v>842</v>
      </c>
      <c r="H415" s="83" t="s">
        <v>51</v>
      </c>
      <c r="I415" s="65">
        <v>6</v>
      </c>
      <c r="J415" s="69" t="s">
        <v>18</v>
      </c>
      <c r="K415" s="77">
        <v>220</v>
      </c>
      <c r="L415" s="66">
        <f t="shared" si="169"/>
        <v>1320</v>
      </c>
      <c r="M415" s="5">
        <f t="shared" si="170"/>
        <v>1871389.55</v>
      </c>
      <c r="N415" s="78" t="s">
        <v>1129</v>
      </c>
      <c r="O415" s="64">
        <v>6</v>
      </c>
      <c r="P415" s="67">
        <f t="shared" si="166"/>
        <v>0</v>
      </c>
      <c r="Q415" s="68" t="s">
        <v>1138</v>
      </c>
      <c r="R415" s="68"/>
    </row>
    <row r="416" spans="1:18" ht="29" x14ac:dyDescent="0.35">
      <c r="A416" s="70">
        <v>44879</v>
      </c>
      <c r="B416" s="51">
        <f t="shared" si="191"/>
        <v>11</v>
      </c>
      <c r="C416" s="11">
        <f t="shared" si="192"/>
        <v>2022</v>
      </c>
      <c r="D416" s="97" t="s">
        <v>1119</v>
      </c>
      <c r="E416" s="65" t="s">
        <v>686</v>
      </c>
      <c r="F416" s="80" t="s">
        <v>957</v>
      </c>
      <c r="G416" s="80" t="s">
        <v>957</v>
      </c>
      <c r="H416" s="83" t="s">
        <v>51</v>
      </c>
      <c r="I416" s="65">
        <v>12</v>
      </c>
      <c r="J416" s="69" t="s">
        <v>215</v>
      </c>
      <c r="K416" s="77">
        <v>40</v>
      </c>
      <c r="L416" s="66">
        <f t="shared" si="169"/>
        <v>480</v>
      </c>
      <c r="M416" s="5">
        <f t="shared" si="170"/>
        <v>1871869.55</v>
      </c>
      <c r="N416" s="86" t="s">
        <v>1166</v>
      </c>
      <c r="O416" s="64">
        <f>6</f>
        <v>6</v>
      </c>
      <c r="P416" s="67">
        <f t="shared" si="166"/>
        <v>6</v>
      </c>
      <c r="Q416" s="68" t="s">
        <v>1167</v>
      </c>
      <c r="R416" s="68"/>
    </row>
    <row r="417" spans="1:18" ht="29" x14ac:dyDescent="0.35">
      <c r="A417" s="70">
        <v>44879</v>
      </c>
      <c r="B417" s="51">
        <f t="shared" si="191"/>
        <v>11</v>
      </c>
      <c r="C417" s="11">
        <f t="shared" si="192"/>
        <v>2022</v>
      </c>
      <c r="D417" s="97" t="s">
        <v>1119</v>
      </c>
      <c r="E417" s="65" t="s">
        <v>686</v>
      </c>
      <c r="F417" s="80" t="s">
        <v>1131</v>
      </c>
      <c r="G417" s="80" t="s">
        <v>1131</v>
      </c>
      <c r="H417" s="83" t="s">
        <v>51</v>
      </c>
      <c r="I417" s="65">
        <v>2</v>
      </c>
      <c r="J417" s="69" t="s">
        <v>1</v>
      </c>
      <c r="K417" s="77">
        <v>378</v>
      </c>
      <c r="L417" s="66">
        <f t="shared" si="169"/>
        <v>756</v>
      </c>
      <c r="M417" s="5">
        <f t="shared" si="170"/>
        <v>1872625.55</v>
      </c>
      <c r="N417" s="78" t="s">
        <v>1129</v>
      </c>
      <c r="O417" s="64">
        <v>2</v>
      </c>
      <c r="P417" s="67">
        <f t="shared" si="166"/>
        <v>0</v>
      </c>
      <c r="Q417" s="68" t="s">
        <v>1130</v>
      </c>
      <c r="R417" s="68"/>
    </row>
    <row r="418" spans="1:18" ht="29" x14ac:dyDescent="0.35">
      <c r="A418" s="70">
        <v>44880</v>
      </c>
      <c r="B418" s="51">
        <f t="shared" si="191"/>
        <v>11</v>
      </c>
      <c r="C418" s="11">
        <f t="shared" si="192"/>
        <v>2022</v>
      </c>
      <c r="D418" s="97" t="s">
        <v>1195</v>
      </c>
      <c r="E418" s="65" t="s">
        <v>686</v>
      </c>
      <c r="F418" s="80" t="s">
        <v>979</v>
      </c>
      <c r="G418" s="80" t="s">
        <v>979</v>
      </c>
      <c r="H418" s="83" t="s">
        <v>47</v>
      </c>
      <c r="I418" s="65">
        <v>5</v>
      </c>
      <c r="J418" s="69" t="s">
        <v>0</v>
      </c>
      <c r="K418" s="77">
        <v>1606</v>
      </c>
      <c r="L418" s="66">
        <f t="shared" si="169"/>
        <v>8030</v>
      </c>
      <c r="M418" s="5">
        <f t="shared" si="170"/>
        <v>1880655.55</v>
      </c>
      <c r="N418" s="78" t="s">
        <v>1153</v>
      </c>
      <c r="O418" s="64">
        <v>5</v>
      </c>
      <c r="P418" s="67">
        <f t="shared" si="166"/>
        <v>0</v>
      </c>
      <c r="Q418" s="68" t="s">
        <v>1159</v>
      </c>
      <c r="R418" s="68"/>
    </row>
    <row r="419" spans="1:18" ht="43.5" x14ac:dyDescent="0.35">
      <c r="A419" s="70">
        <v>44880</v>
      </c>
      <c r="B419" s="51">
        <f t="shared" si="191"/>
        <v>11</v>
      </c>
      <c r="C419" s="11">
        <f t="shared" si="192"/>
        <v>2022</v>
      </c>
      <c r="D419" s="97" t="s">
        <v>1195</v>
      </c>
      <c r="E419" s="65" t="s">
        <v>686</v>
      </c>
      <c r="F419" s="80" t="s">
        <v>765</v>
      </c>
      <c r="G419" s="80" t="s">
        <v>765</v>
      </c>
      <c r="H419" s="83" t="s">
        <v>47</v>
      </c>
      <c r="I419" s="65">
        <v>4</v>
      </c>
      <c r="J419" s="69" t="s">
        <v>18</v>
      </c>
      <c r="K419" s="77">
        <v>650</v>
      </c>
      <c r="L419" s="66">
        <f t="shared" si="169"/>
        <v>2600</v>
      </c>
      <c r="M419" s="5">
        <f t="shared" si="170"/>
        <v>1883255.55</v>
      </c>
      <c r="N419" s="78" t="s">
        <v>1153</v>
      </c>
      <c r="O419" s="64">
        <f>1</f>
        <v>1</v>
      </c>
      <c r="P419" s="67">
        <f t="shared" si="166"/>
        <v>3</v>
      </c>
      <c r="Q419" s="68" t="s">
        <v>1157</v>
      </c>
      <c r="R419" s="68"/>
    </row>
    <row r="420" spans="1:18" ht="29" x14ac:dyDescent="0.35">
      <c r="A420" s="70">
        <v>44880</v>
      </c>
      <c r="B420" s="51">
        <f t="shared" si="191"/>
        <v>11</v>
      </c>
      <c r="C420" s="11">
        <f t="shared" si="192"/>
        <v>2022</v>
      </c>
      <c r="D420" s="97" t="s">
        <v>1195</v>
      </c>
      <c r="E420" s="65" t="s">
        <v>686</v>
      </c>
      <c r="F420" s="80" t="s">
        <v>981</v>
      </c>
      <c r="G420" s="80" t="s">
        <v>981</v>
      </c>
      <c r="H420" s="83" t="s">
        <v>47</v>
      </c>
      <c r="I420" s="65">
        <v>3</v>
      </c>
      <c r="J420" s="69" t="s">
        <v>217</v>
      </c>
      <c r="K420" s="77">
        <v>360</v>
      </c>
      <c r="L420" s="66">
        <f t="shared" si="169"/>
        <v>1080</v>
      </c>
      <c r="M420" s="5">
        <f t="shared" si="170"/>
        <v>1884335.55</v>
      </c>
      <c r="N420" s="78"/>
      <c r="O420" s="64"/>
      <c r="P420" s="67">
        <f t="shared" si="166"/>
        <v>3</v>
      </c>
      <c r="Q420" s="68"/>
      <c r="R420" s="68"/>
    </row>
    <row r="421" spans="1:18" x14ac:dyDescent="0.35">
      <c r="A421" s="70">
        <v>44880</v>
      </c>
      <c r="B421" s="51">
        <f t="shared" ref="B421:B423" si="193">MONTH(A421)</f>
        <v>11</v>
      </c>
      <c r="C421" s="11">
        <f t="shared" ref="C421:C423" si="194">YEAR(A421)</f>
        <v>2022</v>
      </c>
      <c r="D421" s="97" t="s">
        <v>1195</v>
      </c>
      <c r="E421" s="65" t="s">
        <v>686</v>
      </c>
      <c r="F421" s="80" t="s">
        <v>1149</v>
      </c>
      <c r="G421" s="80" t="s">
        <v>1149</v>
      </c>
      <c r="H421" s="83" t="s">
        <v>47</v>
      </c>
      <c r="I421" s="65">
        <v>12</v>
      </c>
      <c r="J421" s="69" t="s">
        <v>18</v>
      </c>
      <c r="K421" s="77">
        <v>68.400000000000006</v>
      </c>
      <c r="L421" s="66">
        <f t="shared" si="169"/>
        <v>820.80000000000007</v>
      </c>
      <c r="M421" s="5">
        <f t="shared" si="170"/>
        <v>1885156.35</v>
      </c>
      <c r="N421" s="78" t="s">
        <v>1153</v>
      </c>
      <c r="O421" s="64">
        <f>6</f>
        <v>6</v>
      </c>
      <c r="P421" s="67">
        <f t="shared" si="166"/>
        <v>6</v>
      </c>
      <c r="Q421" s="68" t="s">
        <v>1154</v>
      </c>
      <c r="R421" s="68"/>
    </row>
    <row r="422" spans="1:18" ht="29" x14ac:dyDescent="0.35">
      <c r="A422" s="70">
        <v>44880</v>
      </c>
      <c r="B422" s="51">
        <f t="shared" si="193"/>
        <v>11</v>
      </c>
      <c r="C422" s="11">
        <f t="shared" si="194"/>
        <v>2022</v>
      </c>
      <c r="D422" s="97" t="s">
        <v>1195</v>
      </c>
      <c r="E422" s="65" t="s">
        <v>686</v>
      </c>
      <c r="F422" s="80" t="s">
        <v>1131</v>
      </c>
      <c r="G422" s="80" t="s">
        <v>1131</v>
      </c>
      <c r="H422" s="83" t="s">
        <v>47</v>
      </c>
      <c r="I422" s="65">
        <v>10</v>
      </c>
      <c r="J422" s="69" t="s">
        <v>1</v>
      </c>
      <c r="K422" s="77">
        <v>378</v>
      </c>
      <c r="L422" s="66">
        <f t="shared" si="169"/>
        <v>3780</v>
      </c>
      <c r="M422" s="5">
        <f t="shared" si="170"/>
        <v>1888936.35</v>
      </c>
      <c r="N422" s="78"/>
      <c r="O422" s="64"/>
      <c r="P422" s="67">
        <f t="shared" si="166"/>
        <v>10</v>
      </c>
      <c r="Q422" s="68"/>
      <c r="R422" s="68"/>
    </row>
    <row r="423" spans="1:18" ht="43.5" x14ac:dyDescent="0.35">
      <c r="A423" s="70">
        <v>44882</v>
      </c>
      <c r="B423" s="51">
        <f t="shared" si="193"/>
        <v>11</v>
      </c>
      <c r="C423" s="11">
        <f t="shared" si="194"/>
        <v>2022</v>
      </c>
      <c r="D423" s="97">
        <v>45115</v>
      </c>
      <c r="E423" s="65" t="s">
        <v>10</v>
      </c>
      <c r="F423" s="80" t="s">
        <v>980</v>
      </c>
      <c r="G423" s="80" t="s">
        <v>980</v>
      </c>
      <c r="H423" s="83" t="s">
        <v>47</v>
      </c>
      <c r="I423" s="65">
        <v>40</v>
      </c>
      <c r="J423" s="69" t="s">
        <v>1</v>
      </c>
      <c r="K423" s="77">
        <v>180</v>
      </c>
      <c r="L423" s="66">
        <f t="shared" si="169"/>
        <v>7200</v>
      </c>
      <c r="M423" s="5">
        <f t="shared" si="170"/>
        <v>1896136.35</v>
      </c>
      <c r="N423" s="86" t="s">
        <v>1174</v>
      </c>
      <c r="O423" s="64">
        <f>1+5</f>
        <v>6</v>
      </c>
      <c r="P423" s="67">
        <f t="shared" si="166"/>
        <v>34</v>
      </c>
      <c r="Q423" s="68" t="s">
        <v>1175</v>
      </c>
      <c r="R423" s="68"/>
    </row>
    <row r="424" spans="1:18" ht="58" x14ac:dyDescent="0.35">
      <c r="A424" s="70">
        <v>44882</v>
      </c>
      <c r="B424" s="51">
        <f t="shared" ref="B424:B429" si="195">MONTH(A424)</f>
        <v>11</v>
      </c>
      <c r="C424" s="11">
        <f t="shared" ref="C424:C429" si="196">YEAR(A424)</f>
        <v>2022</v>
      </c>
      <c r="D424" s="97">
        <v>45115</v>
      </c>
      <c r="E424" s="65" t="s">
        <v>10</v>
      </c>
      <c r="F424" s="80" t="s">
        <v>19</v>
      </c>
      <c r="G424" s="31" t="s">
        <v>19</v>
      </c>
      <c r="H424" s="83" t="s">
        <v>47</v>
      </c>
      <c r="I424" s="65">
        <v>32</v>
      </c>
      <c r="J424" s="69" t="s">
        <v>25</v>
      </c>
      <c r="K424" s="77">
        <v>95</v>
      </c>
      <c r="L424" s="66">
        <f t="shared" si="169"/>
        <v>3040</v>
      </c>
      <c r="M424" s="5">
        <f t="shared" si="170"/>
        <v>1899176.35</v>
      </c>
      <c r="N424" s="86" t="s">
        <v>1184</v>
      </c>
      <c r="O424" s="64">
        <f>1+6+4+1</f>
        <v>12</v>
      </c>
      <c r="P424" s="67">
        <f t="shared" si="166"/>
        <v>20</v>
      </c>
      <c r="Q424" s="68" t="s">
        <v>1192</v>
      </c>
      <c r="R424" s="68"/>
    </row>
    <row r="425" spans="1:18" ht="29" x14ac:dyDescent="0.35">
      <c r="A425" s="70">
        <v>44882</v>
      </c>
      <c r="B425" s="51">
        <f t="shared" si="195"/>
        <v>11</v>
      </c>
      <c r="C425" s="11">
        <f t="shared" si="196"/>
        <v>2022</v>
      </c>
      <c r="D425" s="97">
        <v>45115</v>
      </c>
      <c r="E425" s="65" t="s">
        <v>10</v>
      </c>
      <c r="F425" s="80" t="s">
        <v>1022</v>
      </c>
      <c r="G425" s="80" t="s">
        <v>1022</v>
      </c>
      <c r="H425" s="83" t="s">
        <v>47</v>
      </c>
      <c r="I425" s="65">
        <v>5</v>
      </c>
      <c r="J425" s="69" t="s">
        <v>0</v>
      </c>
      <c r="K425" s="77">
        <v>1606</v>
      </c>
      <c r="L425" s="66">
        <f t="shared" si="169"/>
        <v>8030</v>
      </c>
      <c r="M425" s="5">
        <f>SUM(M424+L425)</f>
        <v>1907206.35</v>
      </c>
      <c r="N425" s="78" t="s">
        <v>1165</v>
      </c>
      <c r="O425" s="64">
        <v>5</v>
      </c>
      <c r="P425" s="67">
        <f t="shared" si="166"/>
        <v>0</v>
      </c>
      <c r="Q425" s="68" t="s">
        <v>1172</v>
      </c>
      <c r="R425" s="68"/>
    </row>
    <row r="426" spans="1:18" x14ac:dyDescent="0.35">
      <c r="A426" s="70">
        <v>44882</v>
      </c>
      <c r="B426" s="51">
        <f t="shared" ref="B426" si="197">MONTH(A426)</f>
        <v>11</v>
      </c>
      <c r="C426" s="11">
        <f t="shared" ref="C426" si="198">YEAR(A426)</f>
        <v>2022</v>
      </c>
      <c r="D426" s="97"/>
      <c r="E426" s="65" t="s">
        <v>1185</v>
      </c>
      <c r="F426" s="80" t="s">
        <v>1186</v>
      </c>
      <c r="G426" s="80" t="s">
        <v>1186</v>
      </c>
      <c r="H426" s="83" t="s">
        <v>47</v>
      </c>
      <c r="I426" s="65">
        <v>1</v>
      </c>
      <c r="J426" s="69" t="s">
        <v>18</v>
      </c>
      <c r="K426" s="77">
        <v>320</v>
      </c>
      <c r="L426" s="66">
        <f t="shared" si="169"/>
        <v>320</v>
      </c>
      <c r="M426" s="5">
        <f t="shared" ref="M426:M432" si="199">SUM(M425+L426)</f>
        <v>1907526.35</v>
      </c>
      <c r="N426" s="78"/>
      <c r="O426" s="64"/>
      <c r="P426" s="67">
        <f t="shared" si="166"/>
        <v>1</v>
      </c>
      <c r="Q426" s="68"/>
      <c r="R426" s="68"/>
    </row>
    <row r="427" spans="1:18" ht="29" x14ac:dyDescent="0.35">
      <c r="A427" s="70">
        <v>44886</v>
      </c>
      <c r="B427" s="51">
        <f t="shared" si="195"/>
        <v>11</v>
      </c>
      <c r="C427" s="11">
        <f t="shared" si="196"/>
        <v>2022</v>
      </c>
      <c r="D427" s="97"/>
      <c r="E427" s="65" t="s">
        <v>686</v>
      </c>
      <c r="F427" s="80" t="s">
        <v>1147</v>
      </c>
      <c r="G427" s="80" t="s">
        <v>1147</v>
      </c>
      <c r="H427" s="83" t="s">
        <v>51</v>
      </c>
      <c r="I427" s="65">
        <v>3</v>
      </c>
      <c r="J427" s="69" t="s">
        <v>18</v>
      </c>
      <c r="K427" s="77">
        <v>166</v>
      </c>
      <c r="L427" s="66">
        <f t="shared" si="169"/>
        <v>498</v>
      </c>
      <c r="M427" s="5">
        <f t="shared" si="199"/>
        <v>1908024.35</v>
      </c>
      <c r="N427" s="78"/>
      <c r="O427" s="64">
        <v>3</v>
      </c>
      <c r="P427" s="67">
        <f t="shared" si="166"/>
        <v>0</v>
      </c>
      <c r="Q427" s="68" t="s">
        <v>1148</v>
      </c>
      <c r="R427" s="68"/>
    </row>
    <row r="428" spans="1:18" ht="29" x14ac:dyDescent="0.35">
      <c r="A428" s="70">
        <v>44887</v>
      </c>
      <c r="B428" s="51">
        <f t="shared" si="195"/>
        <v>11</v>
      </c>
      <c r="C428" s="11">
        <f t="shared" si="196"/>
        <v>2022</v>
      </c>
      <c r="D428" s="97"/>
      <c r="E428" s="65" t="s">
        <v>686</v>
      </c>
      <c r="F428" s="80" t="s">
        <v>925</v>
      </c>
      <c r="G428" s="31" t="s">
        <v>925</v>
      </c>
      <c r="H428" s="83" t="s">
        <v>47</v>
      </c>
      <c r="I428" s="65">
        <v>15</v>
      </c>
      <c r="J428" s="69" t="s">
        <v>0</v>
      </c>
      <c r="K428" s="77">
        <v>1606</v>
      </c>
      <c r="L428" s="66">
        <f t="shared" si="169"/>
        <v>24090</v>
      </c>
      <c r="M428" s="5">
        <f t="shared" si="199"/>
        <v>1932114.35</v>
      </c>
      <c r="N428" s="78" t="s">
        <v>1165</v>
      </c>
      <c r="O428" s="64">
        <f>1</f>
        <v>1</v>
      </c>
      <c r="P428" s="67">
        <f t="shared" si="166"/>
        <v>14</v>
      </c>
      <c r="Q428" s="68" t="s">
        <v>1181</v>
      </c>
      <c r="R428" s="68"/>
    </row>
    <row r="429" spans="1:18" x14ac:dyDescent="0.35">
      <c r="A429" s="70">
        <v>44894</v>
      </c>
      <c r="B429" s="51">
        <f t="shared" si="195"/>
        <v>11</v>
      </c>
      <c r="C429" s="11">
        <f t="shared" si="196"/>
        <v>2022</v>
      </c>
      <c r="D429" s="97" t="s">
        <v>1196</v>
      </c>
      <c r="E429" s="65" t="s">
        <v>686</v>
      </c>
      <c r="F429" s="80" t="s">
        <v>1170</v>
      </c>
      <c r="G429" s="31" t="s">
        <v>1170</v>
      </c>
      <c r="H429" s="83" t="s">
        <v>51</v>
      </c>
      <c r="I429" s="65">
        <v>1</v>
      </c>
      <c r="J429" s="69" t="s">
        <v>18</v>
      </c>
      <c r="K429" s="77">
        <v>220</v>
      </c>
      <c r="L429" s="66">
        <f t="shared" si="169"/>
        <v>220</v>
      </c>
      <c r="M429" s="5">
        <f t="shared" si="199"/>
        <v>1932334.35</v>
      </c>
      <c r="N429" s="78" t="s">
        <v>1165</v>
      </c>
      <c r="O429" s="64">
        <v>1</v>
      </c>
      <c r="P429" s="67">
        <f t="shared" si="166"/>
        <v>0</v>
      </c>
      <c r="Q429" s="68" t="s">
        <v>1173</v>
      </c>
      <c r="R429" s="68"/>
    </row>
    <row r="430" spans="1:18" ht="29" x14ac:dyDescent="0.35">
      <c r="A430" s="70">
        <v>44895</v>
      </c>
      <c r="B430" s="51">
        <f t="shared" ref="B430:B432" si="200">MONTH(A430)</f>
        <v>11</v>
      </c>
      <c r="C430" s="11">
        <f t="shared" ref="C430:C432" si="201">YEAR(A430)</f>
        <v>2022</v>
      </c>
      <c r="D430" s="97">
        <v>45183</v>
      </c>
      <c r="E430" s="65" t="s">
        <v>10</v>
      </c>
      <c r="F430" s="80" t="s">
        <v>1022</v>
      </c>
      <c r="G430" s="31" t="s">
        <v>1022</v>
      </c>
      <c r="H430" s="83" t="s">
        <v>47</v>
      </c>
      <c r="I430" s="65">
        <v>10</v>
      </c>
      <c r="J430" s="69" t="s">
        <v>0</v>
      </c>
      <c r="K430" s="77">
        <v>1606</v>
      </c>
      <c r="L430" s="66">
        <f t="shared" si="169"/>
        <v>16060</v>
      </c>
      <c r="M430" s="5">
        <f t="shared" si="199"/>
        <v>1948394.35</v>
      </c>
      <c r="N430" s="78"/>
      <c r="O430" s="64"/>
      <c r="P430" s="67">
        <f t="shared" si="166"/>
        <v>10</v>
      </c>
      <c r="Q430" s="68"/>
      <c r="R430" s="68"/>
    </row>
    <row r="431" spans="1:18" ht="43.5" x14ac:dyDescent="0.35">
      <c r="A431" s="70">
        <v>44895</v>
      </c>
      <c r="B431" s="51">
        <f t="shared" si="200"/>
        <v>11</v>
      </c>
      <c r="C431" s="11">
        <f t="shared" si="201"/>
        <v>2022</v>
      </c>
      <c r="D431" s="97">
        <v>45183</v>
      </c>
      <c r="E431" s="65" t="s">
        <v>10</v>
      </c>
      <c r="F431" s="80" t="s">
        <v>980</v>
      </c>
      <c r="G431" s="31" t="s">
        <v>980</v>
      </c>
      <c r="H431" s="83" t="s">
        <v>47</v>
      </c>
      <c r="I431" s="65">
        <v>40</v>
      </c>
      <c r="J431" s="69" t="s">
        <v>1</v>
      </c>
      <c r="K431" s="77">
        <v>177</v>
      </c>
      <c r="L431" s="66">
        <f t="shared" si="169"/>
        <v>7080</v>
      </c>
      <c r="M431" s="5">
        <f t="shared" si="199"/>
        <v>1955474.35</v>
      </c>
      <c r="N431" s="78"/>
      <c r="O431" s="64"/>
      <c r="P431" s="67">
        <f t="shared" si="166"/>
        <v>40</v>
      </c>
      <c r="Q431" s="68"/>
      <c r="R431" s="68"/>
    </row>
    <row r="432" spans="1:18" ht="29" x14ac:dyDescent="0.35">
      <c r="A432" s="70">
        <v>44895</v>
      </c>
      <c r="B432" s="51">
        <f t="shared" si="200"/>
        <v>11</v>
      </c>
      <c r="C432" s="11">
        <f t="shared" si="201"/>
        <v>2022</v>
      </c>
      <c r="D432" s="97" t="s">
        <v>1197</v>
      </c>
      <c r="E432" s="65" t="s">
        <v>686</v>
      </c>
      <c r="F432" s="80" t="s">
        <v>1147</v>
      </c>
      <c r="G432" s="80" t="s">
        <v>1147</v>
      </c>
      <c r="H432" s="83" t="s">
        <v>51</v>
      </c>
      <c r="I432" s="65">
        <v>2</v>
      </c>
      <c r="J432" s="69" t="s">
        <v>18</v>
      </c>
      <c r="K432" s="77">
        <v>166</v>
      </c>
      <c r="L432" s="66">
        <f t="shared" si="169"/>
        <v>332</v>
      </c>
      <c r="M432" s="5">
        <f t="shared" si="199"/>
        <v>1955806.35</v>
      </c>
      <c r="N432" s="86" t="s">
        <v>1182</v>
      </c>
      <c r="O432" s="64">
        <f>1+1</f>
        <v>2</v>
      </c>
      <c r="P432" s="67">
        <f t="shared" si="166"/>
        <v>0</v>
      </c>
      <c r="Q432" s="68" t="s">
        <v>1183</v>
      </c>
      <c r="R432" s="68"/>
    </row>
    <row r="433" spans="1:18" x14ac:dyDescent="0.35">
      <c r="A433" s="70"/>
      <c r="B433" s="51"/>
      <c r="C433" s="11"/>
      <c r="D433" s="85"/>
      <c r="E433" s="64"/>
      <c r="F433" s="80"/>
      <c r="G433" s="31"/>
      <c r="H433" s="83"/>
      <c r="I433" s="65"/>
      <c r="K433" s="77"/>
      <c r="L433" s="66"/>
      <c r="M433" s="5"/>
      <c r="N433" s="78"/>
      <c r="O433" s="64"/>
      <c r="P433" s="67"/>
      <c r="Q433" s="68"/>
      <c r="R433" s="68"/>
    </row>
    <row r="434" spans="1:18" x14ac:dyDescent="0.35">
      <c r="A434" s="70"/>
      <c r="B434" s="51"/>
      <c r="C434" s="11"/>
      <c r="D434" s="85"/>
      <c r="E434" s="64"/>
      <c r="F434" s="80"/>
      <c r="G434" s="31"/>
      <c r="H434" s="83"/>
      <c r="I434" s="65"/>
      <c r="K434" s="77"/>
      <c r="L434" s="66"/>
      <c r="M434" s="5"/>
      <c r="N434" s="78"/>
      <c r="O434" s="64"/>
      <c r="P434" s="67"/>
      <c r="Q434" s="68"/>
      <c r="R434" s="68"/>
    </row>
    <row r="435" spans="1:18" x14ac:dyDescent="0.35">
      <c r="A435" s="70"/>
      <c r="B435" s="51"/>
      <c r="C435" s="11"/>
      <c r="D435" s="85"/>
      <c r="E435" s="64"/>
      <c r="F435" s="80"/>
      <c r="G435" s="31"/>
      <c r="H435" s="83"/>
      <c r="I435" s="65"/>
      <c r="K435" s="77"/>
      <c r="L435" s="66"/>
      <c r="M435" s="5"/>
      <c r="N435" s="78"/>
      <c r="O435" s="64"/>
      <c r="P435" s="67"/>
      <c r="Q435" s="68"/>
      <c r="R435" s="68"/>
    </row>
    <row r="436" spans="1:18" x14ac:dyDescent="0.35">
      <c r="A436" s="70"/>
      <c r="B436" s="51"/>
      <c r="C436" s="11"/>
      <c r="D436" s="85"/>
      <c r="E436" s="64"/>
      <c r="F436" s="80"/>
      <c r="G436" s="31"/>
      <c r="H436" s="83"/>
      <c r="I436" s="65"/>
      <c r="K436" s="77"/>
      <c r="L436" s="66"/>
      <c r="M436" s="5"/>
      <c r="N436" s="78"/>
      <c r="O436" s="64"/>
      <c r="P436" s="67"/>
      <c r="Q436" s="68"/>
      <c r="R436" s="68"/>
    </row>
    <row r="437" spans="1:18" x14ac:dyDescent="0.35">
      <c r="A437" s="70"/>
      <c r="B437" s="51"/>
      <c r="C437" s="11"/>
      <c r="D437" s="85"/>
      <c r="E437" s="64"/>
      <c r="F437" s="80"/>
      <c r="G437" s="31"/>
      <c r="H437" s="83"/>
      <c r="I437" s="65"/>
      <c r="K437" s="77"/>
      <c r="L437" s="66"/>
      <c r="M437" s="5"/>
      <c r="N437" s="78"/>
      <c r="O437" s="64"/>
      <c r="P437" s="67"/>
      <c r="Q437" s="68"/>
      <c r="R437" s="68"/>
    </row>
    <row r="438" spans="1:18" x14ac:dyDescent="0.35">
      <c r="A438" s="65"/>
      <c r="B438" s="51"/>
      <c r="C438" s="65"/>
      <c r="D438" s="85"/>
      <c r="E438" s="84"/>
      <c r="F438" s="76"/>
      <c r="G438" s="40"/>
      <c r="H438" s="37"/>
      <c r="I438" s="12"/>
      <c r="J438"/>
      <c r="K438" s="89"/>
      <c r="L438" s="66"/>
      <c r="M438" s="5"/>
      <c r="N438" s="64"/>
      <c r="O438" s="64"/>
      <c r="P438" s="67"/>
      <c r="Q438" s="64"/>
      <c r="R438" s="64"/>
    </row>
  </sheetData>
  <phoneticPr fontId="3" type="noConversion"/>
  <pageMargins left="0" right="0" top="0" bottom="0" header="0.11811023622047245" footer="0"/>
  <pageSetup scale="71" orientation="landscape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2051" r:id="rId4">
          <objectPr defaultSize="0" autoPict="0" r:id="rId5">
            <anchor moveWithCells="1">
              <from>
                <xdr:col>19</xdr:col>
                <xdr:colOff>44450</xdr:colOff>
                <xdr:row>9</xdr:row>
                <xdr:rowOff>57150</xdr:rowOff>
              </from>
              <to>
                <xdr:col>19</xdr:col>
                <xdr:colOff>406400</xdr:colOff>
                <xdr:row>9</xdr:row>
                <xdr:rowOff>342900</xdr:rowOff>
              </to>
            </anchor>
          </objectPr>
        </oleObject>
      </mc:Choice>
      <mc:Fallback>
        <oleObject progId="Packager Shell Object" dvAspect="DVASPECT_ICON" shapeId="2051" r:id="rId4"/>
      </mc:Fallback>
    </mc:AlternateContent>
    <mc:AlternateContent xmlns:mc="http://schemas.openxmlformats.org/markup-compatibility/2006">
      <mc:Choice Requires="x14">
        <oleObject progId="Packager Shell Object" dvAspect="DVASPECT_ICON" shapeId="2052" r:id="rId6">
          <objectPr defaultSize="0" autoPict="0" r:id="rId7">
            <anchor moveWithCells="1">
              <from>
                <xdr:col>19</xdr:col>
                <xdr:colOff>31750</xdr:colOff>
                <xdr:row>13</xdr:row>
                <xdr:rowOff>114300</xdr:rowOff>
              </from>
              <to>
                <xdr:col>19</xdr:col>
                <xdr:colOff>425450</xdr:colOff>
                <xdr:row>13</xdr:row>
                <xdr:rowOff>387350</xdr:rowOff>
              </to>
            </anchor>
          </objectPr>
        </oleObject>
      </mc:Choice>
      <mc:Fallback>
        <oleObject progId="Packager Shell Object" dvAspect="DVASPECT_ICON" shapeId="2052" r:id="rId6"/>
      </mc:Fallback>
    </mc:AlternateContent>
    <mc:AlternateContent xmlns:mc="http://schemas.openxmlformats.org/markup-compatibility/2006">
      <mc:Choice Requires="x14">
        <oleObject progId="Packager Shell Object" dvAspect="DVASPECT_ICON" shapeId="2053" r:id="rId8">
          <objectPr defaultSize="0" autoPict="0" r:id="rId9">
            <anchor moveWithCells="1">
              <from>
                <xdr:col>19</xdr:col>
                <xdr:colOff>82550</xdr:colOff>
                <xdr:row>18</xdr:row>
                <xdr:rowOff>266700</xdr:rowOff>
              </from>
              <to>
                <xdr:col>19</xdr:col>
                <xdr:colOff>508000</xdr:colOff>
                <xdr:row>18</xdr:row>
                <xdr:rowOff>596900</xdr:rowOff>
              </to>
            </anchor>
          </objectPr>
        </oleObject>
      </mc:Choice>
      <mc:Fallback>
        <oleObject progId="Packager Shell Object" dvAspect="DVASPECT_ICON" shapeId="2053" r:id="rId8"/>
      </mc:Fallback>
    </mc:AlternateContent>
    <mc:AlternateContent xmlns:mc="http://schemas.openxmlformats.org/markup-compatibility/2006">
      <mc:Choice Requires="x14">
        <oleObject progId="Packager Shell Object" dvAspect="DVASPECT_ICON" shapeId="2054" r:id="rId10">
          <objectPr defaultSize="0" autoPict="0" r:id="rId11">
            <anchor moveWithCells="1">
              <from>
                <xdr:col>19</xdr:col>
                <xdr:colOff>50800</xdr:colOff>
                <xdr:row>20</xdr:row>
                <xdr:rowOff>76200</xdr:rowOff>
              </from>
              <to>
                <xdr:col>19</xdr:col>
                <xdr:colOff>381000</xdr:colOff>
                <xdr:row>20</xdr:row>
                <xdr:rowOff>330200</xdr:rowOff>
              </to>
            </anchor>
          </objectPr>
        </oleObject>
      </mc:Choice>
      <mc:Fallback>
        <oleObject progId="Packager Shell Object" dvAspect="DVASPECT_ICON" shapeId="205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2055" r:id="rId12">
          <objectPr defaultSize="0" autoPict="0" r:id="rId13">
            <anchor moveWithCells="1">
              <from>
                <xdr:col>19</xdr:col>
                <xdr:colOff>31750</xdr:colOff>
                <xdr:row>23</xdr:row>
                <xdr:rowOff>44450</xdr:rowOff>
              </from>
              <to>
                <xdr:col>19</xdr:col>
                <xdr:colOff>381000</xdr:colOff>
                <xdr:row>23</xdr:row>
                <xdr:rowOff>304800</xdr:rowOff>
              </to>
            </anchor>
          </objectPr>
        </oleObject>
      </mc:Choice>
      <mc:Fallback>
        <oleObject progId="Packager Shell Object" dvAspect="DVASPECT_ICON" shapeId="2055" r:id="rId12"/>
      </mc:Fallback>
    </mc:AlternateContent>
    <mc:AlternateContent xmlns:mc="http://schemas.openxmlformats.org/markup-compatibility/2006">
      <mc:Choice Requires="x14">
        <oleObject progId="Packager Shell Object" dvAspect="DVASPECT_ICON" shapeId="2056" r:id="rId14">
          <objectPr defaultSize="0" autoPict="0" r:id="rId15">
            <anchor moveWithCells="1">
              <from>
                <xdr:col>19</xdr:col>
                <xdr:colOff>19050</xdr:colOff>
                <xdr:row>24</xdr:row>
                <xdr:rowOff>6350</xdr:rowOff>
              </from>
              <to>
                <xdr:col>19</xdr:col>
                <xdr:colOff>406400</xdr:colOff>
                <xdr:row>25</xdr:row>
                <xdr:rowOff>0</xdr:rowOff>
              </to>
            </anchor>
          </objectPr>
        </oleObject>
      </mc:Choice>
      <mc:Fallback>
        <oleObject progId="Packager Shell Object" dvAspect="DVASPECT_ICON" shapeId="2056" r:id="rId14"/>
      </mc:Fallback>
    </mc:AlternateContent>
    <mc:AlternateContent xmlns:mc="http://schemas.openxmlformats.org/markup-compatibility/2006">
      <mc:Choice Requires="x14">
        <oleObject progId="Packager Shell Object" dvAspect="DVASPECT_ICON" shapeId="2058" r:id="rId16">
          <objectPr defaultSize="0" autoPict="0" r:id="rId17">
            <anchor moveWithCells="1">
              <from>
                <xdr:col>19</xdr:col>
                <xdr:colOff>31750</xdr:colOff>
                <xdr:row>27</xdr:row>
                <xdr:rowOff>12700</xdr:rowOff>
              </from>
              <to>
                <xdr:col>19</xdr:col>
                <xdr:colOff>425450</xdr:colOff>
                <xdr:row>27</xdr:row>
                <xdr:rowOff>304800</xdr:rowOff>
              </to>
            </anchor>
          </objectPr>
        </oleObject>
      </mc:Choice>
      <mc:Fallback>
        <oleObject progId="Packager Shell Object" dvAspect="DVASPECT_ICON" shapeId="2058" r:id="rId16"/>
      </mc:Fallback>
    </mc:AlternateContent>
    <mc:AlternateContent xmlns:mc="http://schemas.openxmlformats.org/markup-compatibility/2006">
      <mc:Choice Requires="x14">
        <oleObject progId="Packager Shell Object" dvAspect="DVASPECT_ICON" shapeId="2059" r:id="rId18">
          <objectPr defaultSize="0" autoPict="0" r:id="rId19">
            <anchor moveWithCells="1">
              <from>
                <xdr:col>19</xdr:col>
                <xdr:colOff>19050</xdr:colOff>
                <xdr:row>30</xdr:row>
                <xdr:rowOff>82550</xdr:rowOff>
              </from>
              <to>
                <xdr:col>19</xdr:col>
                <xdr:colOff>425450</xdr:colOff>
                <xdr:row>30</xdr:row>
                <xdr:rowOff>311150</xdr:rowOff>
              </to>
            </anchor>
          </objectPr>
        </oleObject>
      </mc:Choice>
      <mc:Fallback>
        <oleObject progId="Packager Shell Object" dvAspect="DVASPECT_ICON" shapeId="2059" r:id="rId18"/>
      </mc:Fallback>
    </mc:AlternateContent>
    <mc:AlternateContent xmlns:mc="http://schemas.openxmlformats.org/markup-compatibility/2006">
      <mc:Choice Requires="x14">
        <oleObject progId="Packager Shell Object" dvAspect="DVASPECT_ICON" shapeId="2060" r:id="rId20">
          <objectPr defaultSize="0" autoPict="0" r:id="rId21">
            <anchor moveWithCells="1">
              <from>
                <xdr:col>19</xdr:col>
                <xdr:colOff>12700</xdr:colOff>
                <xdr:row>32</xdr:row>
                <xdr:rowOff>12700</xdr:rowOff>
              </from>
              <to>
                <xdr:col>19</xdr:col>
                <xdr:colOff>438150</xdr:colOff>
                <xdr:row>33</xdr:row>
                <xdr:rowOff>31750</xdr:rowOff>
              </to>
            </anchor>
          </objectPr>
        </oleObject>
      </mc:Choice>
      <mc:Fallback>
        <oleObject progId="Packager Shell Object" dvAspect="DVASPECT_ICON" shapeId="2060" r:id="rId20"/>
      </mc:Fallback>
    </mc:AlternateContent>
    <mc:AlternateContent xmlns:mc="http://schemas.openxmlformats.org/markup-compatibility/2006">
      <mc:Choice Requires="x14">
        <oleObject progId="Packager Shell Object" dvAspect="DVASPECT_ICON" shapeId="2061" r:id="rId22">
          <objectPr defaultSize="0" autoPict="0" r:id="rId23">
            <anchor moveWithCells="1">
              <from>
                <xdr:col>19</xdr:col>
                <xdr:colOff>19050</xdr:colOff>
                <xdr:row>33</xdr:row>
                <xdr:rowOff>196850</xdr:rowOff>
              </from>
              <to>
                <xdr:col>19</xdr:col>
                <xdr:colOff>419100</xdr:colOff>
                <xdr:row>33</xdr:row>
                <xdr:rowOff>469900</xdr:rowOff>
              </to>
            </anchor>
          </objectPr>
        </oleObject>
      </mc:Choice>
      <mc:Fallback>
        <oleObject progId="Packager Shell Object" dvAspect="DVASPECT_ICON" shapeId="2061" r:id="rId22"/>
      </mc:Fallback>
    </mc:AlternateContent>
    <mc:AlternateContent xmlns:mc="http://schemas.openxmlformats.org/markup-compatibility/2006">
      <mc:Choice Requires="x14">
        <oleObject progId="Packager Shell Object" dvAspect="DVASPECT_ICON" shapeId="2062" r:id="rId24">
          <objectPr defaultSize="0" autoPict="0" r:id="rId25">
            <anchor moveWithCells="1">
              <from>
                <xdr:col>19</xdr:col>
                <xdr:colOff>38100</xdr:colOff>
                <xdr:row>34</xdr:row>
                <xdr:rowOff>0</xdr:rowOff>
              </from>
              <to>
                <xdr:col>19</xdr:col>
                <xdr:colOff>425450</xdr:colOff>
                <xdr:row>34</xdr:row>
                <xdr:rowOff>177800</xdr:rowOff>
              </to>
            </anchor>
          </objectPr>
        </oleObject>
      </mc:Choice>
      <mc:Fallback>
        <oleObject progId="Packager Shell Object" dvAspect="DVASPECT_ICON" shapeId="2062" r:id="rId24"/>
      </mc:Fallback>
    </mc:AlternateContent>
    <mc:AlternateContent xmlns:mc="http://schemas.openxmlformats.org/markup-compatibility/2006">
      <mc:Choice Requires="x14">
        <oleObject progId="Packager Shell Object" dvAspect="DVASPECT_ICON" shapeId="2063" r:id="rId26">
          <objectPr defaultSize="0" autoPict="0" r:id="rId27">
            <anchor moveWithCells="1">
              <from>
                <xdr:col>19</xdr:col>
                <xdr:colOff>25400</xdr:colOff>
                <xdr:row>36</xdr:row>
                <xdr:rowOff>133350</xdr:rowOff>
              </from>
              <to>
                <xdr:col>19</xdr:col>
                <xdr:colOff>450850</xdr:colOff>
                <xdr:row>36</xdr:row>
                <xdr:rowOff>355600</xdr:rowOff>
              </to>
            </anchor>
          </objectPr>
        </oleObject>
      </mc:Choice>
      <mc:Fallback>
        <oleObject progId="Packager Shell Object" dvAspect="DVASPECT_ICON" shapeId="2063" r:id="rId26"/>
      </mc:Fallback>
    </mc:AlternateContent>
    <mc:AlternateContent xmlns:mc="http://schemas.openxmlformats.org/markup-compatibility/2006">
      <mc:Choice Requires="x14">
        <oleObject progId="Packager Shell Object" dvAspect="DVASPECT_ICON" shapeId="2064" r:id="rId28">
          <objectPr defaultSize="0" autoPict="0" r:id="rId29">
            <anchor moveWithCells="1">
              <from>
                <xdr:col>19</xdr:col>
                <xdr:colOff>25400</xdr:colOff>
                <xdr:row>37</xdr:row>
                <xdr:rowOff>355600</xdr:rowOff>
              </from>
              <to>
                <xdr:col>19</xdr:col>
                <xdr:colOff>463550</xdr:colOff>
                <xdr:row>39</xdr:row>
                <xdr:rowOff>0</xdr:rowOff>
              </to>
            </anchor>
          </objectPr>
        </oleObject>
      </mc:Choice>
      <mc:Fallback>
        <oleObject progId="Packager Shell Object" dvAspect="DVASPECT_ICON" shapeId="2064" r:id="rId28"/>
      </mc:Fallback>
    </mc:AlternateContent>
    <mc:AlternateContent xmlns:mc="http://schemas.openxmlformats.org/markup-compatibility/2006">
      <mc:Choice Requires="x14">
        <oleObject progId="Packager Shell Object" dvAspect="DVASPECT_ICON" shapeId="2065" r:id="rId30">
          <objectPr defaultSize="0" autoPict="0" r:id="rId31">
            <anchor moveWithCells="1">
              <from>
                <xdr:col>19</xdr:col>
                <xdr:colOff>19050</xdr:colOff>
                <xdr:row>43</xdr:row>
                <xdr:rowOff>82550</xdr:rowOff>
              </from>
              <to>
                <xdr:col>19</xdr:col>
                <xdr:colOff>406400</xdr:colOff>
                <xdr:row>43</xdr:row>
                <xdr:rowOff>311150</xdr:rowOff>
              </to>
            </anchor>
          </objectPr>
        </oleObject>
      </mc:Choice>
      <mc:Fallback>
        <oleObject progId="Packager Shell Object" dvAspect="DVASPECT_ICON" shapeId="2065" r:id="rId30"/>
      </mc:Fallback>
    </mc:AlternateContent>
    <mc:AlternateContent xmlns:mc="http://schemas.openxmlformats.org/markup-compatibility/2006">
      <mc:Choice Requires="x14">
        <oleObject progId="Packager Shell Object" dvAspect="DVASPECT_ICON" shapeId="2066" r:id="rId32">
          <objectPr defaultSize="0" autoPict="0" r:id="rId33">
            <anchor moveWithCells="1">
              <from>
                <xdr:col>19</xdr:col>
                <xdr:colOff>133350</xdr:colOff>
                <xdr:row>47</xdr:row>
                <xdr:rowOff>158750</xdr:rowOff>
              </from>
              <to>
                <xdr:col>19</xdr:col>
                <xdr:colOff>482600</xdr:colOff>
                <xdr:row>47</xdr:row>
                <xdr:rowOff>431800</xdr:rowOff>
              </to>
            </anchor>
          </objectPr>
        </oleObject>
      </mc:Choice>
      <mc:Fallback>
        <oleObject progId="Packager Shell Object" dvAspect="DVASPECT_ICON" shapeId="2066" r:id="rId32"/>
      </mc:Fallback>
    </mc:AlternateContent>
    <mc:AlternateContent xmlns:mc="http://schemas.openxmlformats.org/markup-compatibility/2006">
      <mc:Choice Requires="x14">
        <oleObject progId="Packager Shell Object" dvAspect="DVASPECT_ICON" shapeId="2067" r:id="rId34">
          <objectPr defaultSize="0" autoPict="0" r:id="rId35">
            <anchor moveWithCells="1">
              <from>
                <xdr:col>19</xdr:col>
                <xdr:colOff>158750</xdr:colOff>
                <xdr:row>48</xdr:row>
                <xdr:rowOff>25400</xdr:rowOff>
              </from>
              <to>
                <xdr:col>19</xdr:col>
                <xdr:colOff>508000</xdr:colOff>
                <xdr:row>48</xdr:row>
                <xdr:rowOff>171450</xdr:rowOff>
              </to>
            </anchor>
          </objectPr>
        </oleObject>
      </mc:Choice>
      <mc:Fallback>
        <oleObject progId="Packager Shell Object" dvAspect="DVASPECT_ICON" shapeId="2067" r:id="rId34"/>
      </mc:Fallback>
    </mc:AlternateContent>
    <mc:AlternateContent xmlns:mc="http://schemas.openxmlformats.org/markup-compatibility/2006">
      <mc:Choice Requires="x14">
        <oleObject progId="Packager Shell Object" dvAspect="DVASPECT_ICON" shapeId="2068" r:id="rId36">
          <objectPr defaultSize="0" autoPict="0" r:id="rId37">
            <anchor moveWithCells="1">
              <from>
                <xdr:col>19</xdr:col>
                <xdr:colOff>44450</xdr:colOff>
                <xdr:row>51</xdr:row>
                <xdr:rowOff>273050</xdr:rowOff>
              </from>
              <to>
                <xdr:col>19</xdr:col>
                <xdr:colOff>463550</xdr:colOff>
                <xdr:row>51</xdr:row>
                <xdr:rowOff>514350</xdr:rowOff>
              </to>
            </anchor>
          </objectPr>
        </oleObject>
      </mc:Choice>
      <mc:Fallback>
        <oleObject progId="Packager Shell Object" dvAspect="DVASPECT_ICON" shapeId="2068" r:id="rId36"/>
      </mc:Fallback>
    </mc:AlternateContent>
    <mc:AlternateContent xmlns:mc="http://schemas.openxmlformats.org/markup-compatibility/2006">
      <mc:Choice Requires="x14">
        <oleObject progId="Packager Shell Object" dvAspect="DVASPECT_ICON" shapeId="2069" r:id="rId38">
          <objectPr defaultSize="0" autoPict="0" r:id="rId39">
            <anchor moveWithCells="1">
              <from>
                <xdr:col>19</xdr:col>
                <xdr:colOff>25400</xdr:colOff>
                <xdr:row>52</xdr:row>
                <xdr:rowOff>133350</xdr:rowOff>
              </from>
              <to>
                <xdr:col>19</xdr:col>
                <xdr:colOff>419100</xdr:colOff>
                <xdr:row>52</xdr:row>
                <xdr:rowOff>425450</xdr:rowOff>
              </to>
            </anchor>
          </objectPr>
        </oleObject>
      </mc:Choice>
      <mc:Fallback>
        <oleObject progId="Packager Shell Object" dvAspect="DVASPECT_ICON" shapeId="2069" r:id="rId38"/>
      </mc:Fallback>
    </mc:AlternateContent>
    <mc:AlternateContent xmlns:mc="http://schemas.openxmlformats.org/markup-compatibility/2006">
      <mc:Choice Requires="x14">
        <oleObject progId="Packager Shell Object" dvAspect="DVASPECT_ICON" shapeId="2070" r:id="rId40">
          <objectPr defaultSize="0" autoPict="0" r:id="rId41">
            <anchor moveWithCells="1">
              <from>
                <xdr:col>19</xdr:col>
                <xdr:colOff>12700</xdr:colOff>
                <xdr:row>53</xdr:row>
                <xdr:rowOff>57150</xdr:rowOff>
              </from>
              <to>
                <xdr:col>19</xdr:col>
                <xdr:colOff>381000</xdr:colOff>
                <xdr:row>53</xdr:row>
                <xdr:rowOff>298450</xdr:rowOff>
              </to>
            </anchor>
          </objectPr>
        </oleObject>
      </mc:Choice>
      <mc:Fallback>
        <oleObject progId="Packager Shell Object" dvAspect="DVASPECT_ICON" shapeId="2070" r:id="rId40"/>
      </mc:Fallback>
    </mc:AlternateContent>
    <mc:AlternateContent xmlns:mc="http://schemas.openxmlformats.org/markup-compatibility/2006">
      <mc:Choice Requires="x14">
        <oleObject progId="Packager Shell Object" dvAspect="DVASPECT_ICON" shapeId="2071" r:id="rId42">
          <objectPr defaultSize="0" autoPict="0" r:id="rId43">
            <anchor moveWithCells="1">
              <from>
                <xdr:col>19</xdr:col>
                <xdr:colOff>25400</xdr:colOff>
                <xdr:row>54</xdr:row>
                <xdr:rowOff>63500</xdr:rowOff>
              </from>
              <to>
                <xdr:col>19</xdr:col>
                <xdr:colOff>355600</xdr:colOff>
                <xdr:row>54</xdr:row>
                <xdr:rowOff>355600</xdr:rowOff>
              </to>
            </anchor>
          </objectPr>
        </oleObject>
      </mc:Choice>
      <mc:Fallback>
        <oleObject progId="Packager Shell Object" dvAspect="DVASPECT_ICON" shapeId="2071" r:id="rId42"/>
      </mc:Fallback>
    </mc:AlternateContent>
    <mc:AlternateContent xmlns:mc="http://schemas.openxmlformats.org/markup-compatibility/2006">
      <mc:Choice Requires="x14">
        <oleObject progId="Packager Shell Object" dvAspect="DVASPECT_ICON" shapeId="2072" r:id="rId44">
          <objectPr defaultSize="0" autoPict="0" r:id="rId45">
            <anchor moveWithCells="1">
              <from>
                <xdr:col>19</xdr:col>
                <xdr:colOff>6350</xdr:colOff>
                <xdr:row>55</xdr:row>
                <xdr:rowOff>228600</xdr:rowOff>
              </from>
              <to>
                <xdr:col>19</xdr:col>
                <xdr:colOff>425450</xdr:colOff>
                <xdr:row>55</xdr:row>
                <xdr:rowOff>482600</xdr:rowOff>
              </to>
            </anchor>
          </objectPr>
        </oleObject>
      </mc:Choice>
      <mc:Fallback>
        <oleObject progId="Packager Shell Object" dvAspect="DVASPECT_ICON" shapeId="207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2073" r:id="rId46">
          <objectPr defaultSize="0" autoPict="0" r:id="rId47">
            <anchor moveWithCells="1">
              <from>
                <xdr:col>19</xdr:col>
                <xdr:colOff>19050</xdr:colOff>
                <xdr:row>57</xdr:row>
                <xdr:rowOff>127000</xdr:rowOff>
              </from>
              <to>
                <xdr:col>19</xdr:col>
                <xdr:colOff>355600</xdr:colOff>
                <xdr:row>57</xdr:row>
                <xdr:rowOff>330200</xdr:rowOff>
              </to>
            </anchor>
          </objectPr>
        </oleObject>
      </mc:Choice>
      <mc:Fallback>
        <oleObject progId="Packager Shell Object" dvAspect="DVASPECT_ICON" shapeId="207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2074" r:id="rId48">
          <objectPr defaultSize="0" autoPict="0" r:id="rId49">
            <anchor moveWithCells="1">
              <from>
                <xdr:col>19</xdr:col>
                <xdr:colOff>25400</xdr:colOff>
                <xdr:row>59</xdr:row>
                <xdr:rowOff>6350</xdr:rowOff>
              </from>
              <to>
                <xdr:col>19</xdr:col>
                <xdr:colOff>374650</xdr:colOff>
                <xdr:row>60</xdr:row>
                <xdr:rowOff>12700</xdr:rowOff>
              </to>
            </anchor>
          </objectPr>
        </oleObject>
      </mc:Choice>
      <mc:Fallback>
        <oleObject progId="Packager Shell Object" dvAspect="DVASPECT_ICON" shapeId="2074" r:id="rId48"/>
      </mc:Fallback>
    </mc:AlternateContent>
    <mc:AlternateContent xmlns:mc="http://schemas.openxmlformats.org/markup-compatibility/2006">
      <mc:Choice Requires="x14">
        <oleObject progId="Packager Shell Object" dvAspect="DVASPECT_ICON" shapeId="2075" r:id="rId50">
          <objectPr defaultSize="0" autoPict="0" r:id="rId51">
            <anchor moveWithCells="1">
              <from>
                <xdr:col>18</xdr:col>
                <xdr:colOff>190500</xdr:colOff>
                <xdr:row>61</xdr:row>
                <xdr:rowOff>495300</xdr:rowOff>
              </from>
              <to>
                <xdr:col>19</xdr:col>
                <xdr:colOff>336550</xdr:colOff>
                <xdr:row>61</xdr:row>
                <xdr:rowOff>711200</xdr:rowOff>
              </to>
            </anchor>
          </objectPr>
        </oleObject>
      </mc:Choice>
      <mc:Fallback>
        <oleObject progId="Packager Shell Object" dvAspect="DVASPECT_ICON" shapeId="2075" r:id="rId50"/>
      </mc:Fallback>
    </mc:AlternateContent>
    <mc:AlternateContent xmlns:mc="http://schemas.openxmlformats.org/markup-compatibility/2006">
      <mc:Choice Requires="x14">
        <oleObject progId="Packager Shell Object" dvAspect="DVASPECT_ICON" shapeId="2076" r:id="rId52">
          <objectPr defaultSize="0" autoPict="0" r:id="rId53">
            <anchor moveWithCells="1">
              <from>
                <xdr:col>19</xdr:col>
                <xdr:colOff>31750</xdr:colOff>
                <xdr:row>62</xdr:row>
                <xdr:rowOff>88900</xdr:rowOff>
              </from>
              <to>
                <xdr:col>19</xdr:col>
                <xdr:colOff>387350</xdr:colOff>
                <xdr:row>62</xdr:row>
                <xdr:rowOff>330200</xdr:rowOff>
              </to>
            </anchor>
          </objectPr>
        </oleObject>
      </mc:Choice>
      <mc:Fallback>
        <oleObject progId="Packager Shell Object" dvAspect="DVASPECT_ICON" shapeId="2076" r:id="rId52"/>
      </mc:Fallback>
    </mc:AlternateContent>
    <mc:AlternateContent xmlns:mc="http://schemas.openxmlformats.org/markup-compatibility/2006">
      <mc:Choice Requires="x14">
        <oleObject progId="Packager Shell Object" dvAspect="DVASPECT_ICON" shapeId="2077" r:id="rId54">
          <objectPr defaultSize="0" autoPict="0" r:id="rId55">
            <anchor moveWithCells="1">
              <from>
                <xdr:col>19</xdr:col>
                <xdr:colOff>25400</xdr:colOff>
                <xdr:row>66</xdr:row>
                <xdr:rowOff>139700</xdr:rowOff>
              </from>
              <to>
                <xdr:col>19</xdr:col>
                <xdr:colOff>387350</xdr:colOff>
                <xdr:row>66</xdr:row>
                <xdr:rowOff>381000</xdr:rowOff>
              </to>
            </anchor>
          </objectPr>
        </oleObject>
      </mc:Choice>
      <mc:Fallback>
        <oleObject progId="Packager Shell Object" dvAspect="DVASPECT_ICON" shapeId="2077" r:id="rId54"/>
      </mc:Fallback>
    </mc:AlternateContent>
    <mc:AlternateContent xmlns:mc="http://schemas.openxmlformats.org/markup-compatibility/2006">
      <mc:Choice Requires="x14">
        <oleObject progId="Packager Shell Object" dvAspect="DVASPECT_ICON" shapeId="2078" r:id="rId56">
          <objectPr defaultSize="0" autoPict="0" r:id="rId57">
            <anchor moveWithCells="1">
              <from>
                <xdr:col>19</xdr:col>
                <xdr:colOff>6350</xdr:colOff>
                <xdr:row>67</xdr:row>
                <xdr:rowOff>323850</xdr:rowOff>
              </from>
              <to>
                <xdr:col>19</xdr:col>
                <xdr:colOff>374650</xdr:colOff>
                <xdr:row>67</xdr:row>
                <xdr:rowOff>584200</xdr:rowOff>
              </to>
            </anchor>
          </objectPr>
        </oleObject>
      </mc:Choice>
      <mc:Fallback>
        <oleObject progId="Packager Shell Object" dvAspect="DVASPECT_ICON" shapeId="2078" r:id="rId56"/>
      </mc:Fallback>
    </mc:AlternateContent>
    <mc:AlternateContent xmlns:mc="http://schemas.openxmlformats.org/markup-compatibility/2006">
      <mc:Choice Requires="x14">
        <oleObject progId="Packager Shell Object" dvAspect="DVASPECT_ICON" shapeId="2079" r:id="rId58">
          <objectPr defaultSize="0" autoPict="0" r:id="rId59">
            <anchor moveWithCells="1">
              <from>
                <xdr:col>19</xdr:col>
                <xdr:colOff>25400</xdr:colOff>
                <xdr:row>68</xdr:row>
                <xdr:rowOff>146050</xdr:rowOff>
              </from>
              <to>
                <xdr:col>19</xdr:col>
                <xdr:colOff>374650</xdr:colOff>
                <xdr:row>68</xdr:row>
                <xdr:rowOff>425450</xdr:rowOff>
              </to>
            </anchor>
          </objectPr>
        </oleObject>
      </mc:Choice>
      <mc:Fallback>
        <oleObject progId="Packager Shell Object" dvAspect="DVASPECT_ICON" shapeId="2079" r:id="rId58"/>
      </mc:Fallback>
    </mc:AlternateContent>
    <mc:AlternateContent xmlns:mc="http://schemas.openxmlformats.org/markup-compatibility/2006">
      <mc:Choice Requires="x14">
        <oleObject progId="Packager Shell Object" dvAspect="DVASPECT_ICON" shapeId="2080" r:id="rId60">
          <objectPr defaultSize="0" autoPict="0" r:id="rId61">
            <anchor moveWithCells="1">
              <from>
                <xdr:col>19</xdr:col>
                <xdr:colOff>19050</xdr:colOff>
                <xdr:row>69</xdr:row>
                <xdr:rowOff>50800</xdr:rowOff>
              </from>
              <to>
                <xdr:col>19</xdr:col>
                <xdr:colOff>355600</xdr:colOff>
                <xdr:row>69</xdr:row>
                <xdr:rowOff>266700</xdr:rowOff>
              </to>
            </anchor>
          </objectPr>
        </oleObject>
      </mc:Choice>
      <mc:Fallback>
        <oleObject progId="Packager Shell Object" dvAspect="DVASPECT_ICON" shapeId="2080" r:id="rId60"/>
      </mc:Fallback>
    </mc:AlternateContent>
    <mc:AlternateContent xmlns:mc="http://schemas.openxmlformats.org/markup-compatibility/2006">
      <mc:Choice Requires="x14">
        <oleObject progId="Packager Shell Object" dvAspect="DVASPECT_ICON" shapeId="2081" r:id="rId62">
          <objectPr defaultSize="0" autoPict="0" r:id="rId63">
            <anchor moveWithCells="1">
              <from>
                <xdr:col>19</xdr:col>
                <xdr:colOff>19050</xdr:colOff>
                <xdr:row>78</xdr:row>
                <xdr:rowOff>12700</xdr:rowOff>
              </from>
              <to>
                <xdr:col>19</xdr:col>
                <xdr:colOff>406400</xdr:colOff>
                <xdr:row>78</xdr:row>
                <xdr:rowOff>177800</xdr:rowOff>
              </to>
            </anchor>
          </objectPr>
        </oleObject>
      </mc:Choice>
      <mc:Fallback>
        <oleObject progId="Packager Shell Object" dvAspect="DVASPECT_ICON" shapeId="2081" r:id="rId62"/>
      </mc:Fallback>
    </mc:AlternateContent>
    <mc:AlternateContent xmlns:mc="http://schemas.openxmlformats.org/markup-compatibility/2006">
      <mc:Choice Requires="x14">
        <oleObject progId="Packager Shell Object" dvAspect="DVASPECT_ICON" shapeId="2082" r:id="rId64">
          <objectPr defaultSize="0" autoPict="0" r:id="rId65">
            <anchor moveWithCells="1">
              <from>
                <xdr:col>19</xdr:col>
                <xdr:colOff>25400</xdr:colOff>
                <xdr:row>71</xdr:row>
                <xdr:rowOff>101600</xdr:rowOff>
              </from>
              <to>
                <xdr:col>19</xdr:col>
                <xdr:colOff>387350</xdr:colOff>
                <xdr:row>71</xdr:row>
                <xdr:rowOff>311150</xdr:rowOff>
              </to>
            </anchor>
          </objectPr>
        </oleObject>
      </mc:Choice>
      <mc:Fallback>
        <oleObject progId="Packager Shell Object" dvAspect="DVASPECT_ICON" shapeId="2082" r:id="rId64"/>
      </mc:Fallback>
    </mc:AlternateContent>
    <mc:AlternateContent xmlns:mc="http://schemas.openxmlformats.org/markup-compatibility/2006">
      <mc:Choice Requires="x14">
        <oleObject progId="Packager Shell Object" dvAspect="DVASPECT_ICON" shapeId="2083" r:id="rId66">
          <objectPr defaultSize="0" autoPict="0" r:id="rId67">
            <anchor moveWithCells="1">
              <from>
                <xdr:col>19</xdr:col>
                <xdr:colOff>6350</xdr:colOff>
                <xdr:row>79</xdr:row>
                <xdr:rowOff>146050</xdr:rowOff>
              </from>
              <to>
                <xdr:col>19</xdr:col>
                <xdr:colOff>406400</xdr:colOff>
                <xdr:row>79</xdr:row>
                <xdr:rowOff>438150</xdr:rowOff>
              </to>
            </anchor>
          </objectPr>
        </oleObject>
      </mc:Choice>
      <mc:Fallback>
        <oleObject progId="Packager Shell Object" dvAspect="DVASPECT_ICON" shapeId="2083" r:id="rId66"/>
      </mc:Fallback>
    </mc:AlternateContent>
    <mc:AlternateContent xmlns:mc="http://schemas.openxmlformats.org/markup-compatibility/2006">
      <mc:Choice Requires="x14">
        <oleObject progId="Packager Shell Object" dvAspect="DVASPECT_ICON" shapeId="2084" r:id="rId68">
          <objectPr defaultSize="0" autoPict="0" r:id="rId69">
            <anchor moveWithCells="1">
              <from>
                <xdr:col>19</xdr:col>
                <xdr:colOff>25400</xdr:colOff>
                <xdr:row>80</xdr:row>
                <xdr:rowOff>311150</xdr:rowOff>
              </from>
              <to>
                <xdr:col>19</xdr:col>
                <xdr:colOff>336550</xdr:colOff>
                <xdr:row>81</xdr:row>
                <xdr:rowOff>76200</xdr:rowOff>
              </to>
            </anchor>
          </objectPr>
        </oleObject>
      </mc:Choice>
      <mc:Fallback>
        <oleObject progId="Packager Shell Object" dvAspect="DVASPECT_ICON" shapeId="2084" r:id="rId68"/>
      </mc:Fallback>
    </mc:AlternateContent>
    <mc:AlternateContent xmlns:mc="http://schemas.openxmlformats.org/markup-compatibility/2006">
      <mc:Choice Requires="x14">
        <oleObject progId="Packager Shell Object" dvAspect="DVASPECT_ICON" shapeId="2085" r:id="rId70">
          <objectPr defaultSize="0" autoPict="0" r:id="rId71">
            <anchor moveWithCells="1">
              <from>
                <xdr:col>19</xdr:col>
                <xdr:colOff>6350</xdr:colOff>
                <xdr:row>83</xdr:row>
                <xdr:rowOff>57150</xdr:rowOff>
              </from>
              <to>
                <xdr:col>19</xdr:col>
                <xdr:colOff>381000</xdr:colOff>
                <xdr:row>83</xdr:row>
                <xdr:rowOff>311150</xdr:rowOff>
              </to>
            </anchor>
          </objectPr>
        </oleObject>
      </mc:Choice>
      <mc:Fallback>
        <oleObject progId="Packager Shell Object" dvAspect="DVASPECT_ICON" shapeId="2085" r:id="rId70"/>
      </mc:Fallback>
    </mc:AlternateContent>
    <mc:AlternateContent xmlns:mc="http://schemas.openxmlformats.org/markup-compatibility/2006">
      <mc:Choice Requires="x14">
        <oleObject progId="Packager Shell Object" dvAspect="DVASPECT_ICON" shapeId="2086" r:id="rId72">
          <objectPr defaultSize="0" autoPict="0" r:id="rId73">
            <anchor moveWithCells="1">
              <from>
                <xdr:col>19</xdr:col>
                <xdr:colOff>25400</xdr:colOff>
                <xdr:row>84</xdr:row>
                <xdr:rowOff>19050</xdr:rowOff>
              </from>
              <to>
                <xdr:col>19</xdr:col>
                <xdr:colOff>406400</xdr:colOff>
                <xdr:row>85</xdr:row>
                <xdr:rowOff>0</xdr:rowOff>
              </to>
            </anchor>
          </objectPr>
        </oleObject>
      </mc:Choice>
      <mc:Fallback>
        <oleObject progId="Packager Shell Object" dvAspect="DVASPECT_ICON" shapeId="2086" r:id="rId72"/>
      </mc:Fallback>
    </mc:AlternateContent>
    <mc:AlternateContent xmlns:mc="http://schemas.openxmlformats.org/markup-compatibility/2006">
      <mc:Choice Requires="x14">
        <oleObject progId="Packager Shell Object" dvAspect="DVASPECT_ICON" shapeId="2088" r:id="rId74">
          <objectPr defaultSize="0" autoPict="0" r:id="rId75">
            <anchor moveWithCells="1">
              <from>
                <xdr:col>19</xdr:col>
                <xdr:colOff>38100</xdr:colOff>
                <xdr:row>89</xdr:row>
                <xdr:rowOff>209550</xdr:rowOff>
              </from>
              <to>
                <xdr:col>19</xdr:col>
                <xdr:colOff>336550</xdr:colOff>
                <xdr:row>89</xdr:row>
                <xdr:rowOff>438150</xdr:rowOff>
              </to>
            </anchor>
          </objectPr>
        </oleObject>
      </mc:Choice>
      <mc:Fallback>
        <oleObject progId="Packager Shell Object" dvAspect="DVASPECT_ICON" shapeId="2088" r:id="rId74"/>
      </mc:Fallback>
    </mc:AlternateContent>
    <mc:AlternateContent xmlns:mc="http://schemas.openxmlformats.org/markup-compatibility/2006">
      <mc:Choice Requires="x14">
        <oleObject progId="Packager Shell Object" dvAspect="DVASPECT_ICON" shapeId="2089" r:id="rId76">
          <objectPr defaultSize="0" autoPict="0" r:id="rId77">
            <anchor moveWithCells="1">
              <from>
                <xdr:col>19</xdr:col>
                <xdr:colOff>12700</xdr:colOff>
                <xdr:row>92</xdr:row>
                <xdr:rowOff>152400</xdr:rowOff>
              </from>
              <to>
                <xdr:col>19</xdr:col>
                <xdr:colOff>355600</xdr:colOff>
                <xdr:row>92</xdr:row>
                <xdr:rowOff>323850</xdr:rowOff>
              </to>
            </anchor>
          </objectPr>
        </oleObject>
      </mc:Choice>
      <mc:Fallback>
        <oleObject progId="Packager Shell Object" dvAspect="DVASPECT_ICON" shapeId="2089" r:id="rId76"/>
      </mc:Fallback>
    </mc:AlternateContent>
    <mc:AlternateContent xmlns:mc="http://schemas.openxmlformats.org/markup-compatibility/2006">
      <mc:Choice Requires="x14">
        <oleObject progId="Packager Shell Object" dvAspect="DVASPECT_ICON" shapeId="2090" r:id="rId78">
          <objectPr defaultSize="0" autoPict="0" r:id="rId79">
            <anchor moveWithCells="1">
              <from>
                <xdr:col>19</xdr:col>
                <xdr:colOff>88900</xdr:colOff>
                <xdr:row>93</xdr:row>
                <xdr:rowOff>12700</xdr:rowOff>
              </from>
              <to>
                <xdr:col>19</xdr:col>
                <xdr:colOff>431800</xdr:colOff>
                <xdr:row>93</xdr:row>
                <xdr:rowOff>304800</xdr:rowOff>
              </to>
            </anchor>
          </objectPr>
        </oleObject>
      </mc:Choice>
      <mc:Fallback>
        <oleObject progId="Packager Shell Object" dvAspect="DVASPECT_ICON" shapeId="2090" r:id="rId78"/>
      </mc:Fallback>
    </mc:AlternateContent>
    <mc:AlternateContent xmlns:mc="http://schemas.openxmlformats.org/markup-compatibility/2006">
      <mc:Choice Requires="x14">
        <oleObject progId="Packager Shell Object" dvAspect="DVASPECT_ICON" shapeId="2091" r:id="rId80">
          <objectPr defaultSize="0" autoPict="0" r:id="rId81">
            <anchor moveWithCells="1">
              <from>
                <xdr:col>19</xdr:col>
                <xdr:colOff>133350</xdr:colOff>
                <xdr:row>95</xdr:row>
                <xdr:rowOff>44450</xdr:rowOff>
              </from>
              <to>
                <xdr:col>19</xdr:col>
                <xdr:colOff>406400</xdr:colOff>
                <xdr:row>95</xdr:row>
                <xdr:rowOff>152400</xdr:rowOff>
              </to>
            </anchor>
          </objectPr>
        </oleObject>
      </mc:Choice>
      <mc:Fallback>
        <oleObject progId="Packager Shell Object" dvAspect="DVASPECT_ICON" shapeId="2091" r:id="rId80"/>
      </mc:Fallback>
    </mc:AlternateContent>
    <mc:AlternateContent xmlns:mc="http://schemas.openxmlformats.org/markup-compatibility/2006">
      <mc:Choice Requires="x14">
        <oleObject progId="Packager Shell Object" dvAspect="DVASPECT_ICON" shapeId="2092" r:id="rId82">
          <objectPr defaultSize="0" autoPict="0" r:id="rId83">
            <anchor moveWithCells="1">
              <from>
                <xdr:col>19</xdr:col>
                <xdr:colOff>361950</xdr:colOff>
                <xdr:row>97</xdr:row>
                <xdr:rowOff>184150</xdr:rowOff>
              </from>
              <to>
                <xdr:col>20</xdr:col>
                <xdr:colOff>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092" r:id="rId82"/>
      </mc:Fallback>
    </mc:AlternateContent>
    <mc:AlternateContent xmlns:mc="http://schemas.openxmlformats.org/markup-compatibility/2006">
      <mc:Choice Requires="x14">
        <oleObject progId="Packager Shell Object" dvAspect="DVASPECT_ICON" shapeId="2094" r:id="rId84">
          <objectPr defaultSize="0" autoPict="0" r:id="rId85">
            <anchor moveWithCells="1">
              <from>
                <xdr:col>18</xdr:col>
                <xdr:colOff>184150</xdr:colOff>
                <xdr:row>98</xdr:row>
                <xdr:rowOff>12700</xdr:rowOff>
              </from>
              <to>
                <xdr:col>19</xdr:col>
                <xdr:colOff>355600</xdr:colOff>
                <xdr:row>99</xdr:row>
                <xdr:rowOff>6350</xdr:rowOff>
              </to>
            </anchor>
          </objectPr>
        </oleObject>
      </mc:Choice>
      <mc:Fallback>
        <oleObject progId="Packager Shell Object" dvAspect="DVASPECT_ICON" shapeId="2094" r:id="rId84"/>
      </mc:Fallback>
    </mc:AlternateContent>
    <mc:AlternateContent xmlns:mc="http://schemas.openxmlformats.org/markup-compatibility/2006">
      <mc:Choice Requires="x14">
        <oleObject progId="Packager Shell Object" dvAspect="DVASPECT_ICON" shapeId="2095" r:id="rId86">
          <objectPr defaultSize="0" autoPict="0" r:id="rId87">
            <anchor moveWithCells="1">
              <from>
                <xdr:col>18</xdr:col>
                <xdr:colOff>196850</xdr:colOff>
                <xdr:row>100</xdr:row>
                <xdr:rowOff>12700</xdr:rowOff>
              </from>
              <to>
                <xdr:col>19</xdr:col>
                <xdr:colOff>387350</xdr:colOff>
                <xdr:row>100</xdr:row>
                <xdr:rowOff>177800</xdr:rowOff>
              </to>
            </anchor>
          </objectPr>
        </oleObject>
      </mc:Choice>
      <mc:Fallback>
        <oleObject progId="Packager Shell Object" dvAspect="DVASPECT_ICON" shapeId="2095" r:id="rId86"/>
      </mc:Fallback>
    </mc:AlternateContent>
    <mc:AlternateContent xmlns:mc="http://schemas.openxmlformats.org/markup-compatibility/2006">
      <mc:Choice Requires="x14">
        <oleObject progId="Packager Shell Object" dvAspect="DVASPECT_ICON" shapeId="2096" r:id="rId88">
          <objectPr defaultSize="0" autoPict="0" r:id="rId89">
            <anchor moveWithCells="1">
              <from>
                <xdr:col>19</xdr:col>
                <xdr:colOff>25400</xdr:colOff>
                <xdr:row>104</xdr:row>
                <xdr:rowOff>133350</xdr:rowOff>
              </from>
              <to>
                <xdr:col>19</xdr:col>
                <xdr:colOff>374650</xdr:colOff>
                <xdr:row>104</xdr:row>
                <xdr:rowOff>298450</xdr:rowOff>
              </to>
            </anchor>
          </objectPr>
        </oleObject>
      </mc:Choice>
      <mc:Fallback>
        <oleObject progId="Packager Shell Object" dvAspect="DVASPECT_ICON" shapeId="2096" r:id="rId88"/>
      </mc:Fallback>
    </mc:AlternateContent>
    <mc:AlternateContent xmlns:mc="http://schemas.openxmlformats.org/markup-compatibility/2006">
      <mc:Choice Requires="x14">
        <oleObject progId="Packager Shell Object" dvAspect="DVASPECT_ICON" shapeId="2097" r:id="rId90">
          <objectPr defaultSize="0" autoPict="0" r:id="rId91">
            <anchor moveWithCells="1">
              <from>
                <xdr:col>19</xdr:col>
                <xdr:colOff>50800</xdr:colOff>
                <xdr:row>25</xdr:row>
                <xdr:rowOff>69850</xdr:rowOff>
              </from>
              <to>
                <xdr:col>19</xdr:col>
                <xdr:colOff>336550</xdr:colOff>
                <xdr:row>25</xdr:row>
                <xdr:rowOff>298450</xdr:rowOff>
              </to>
            </anchor>
          </objectPr>
        </oleObject>
      </mc:Choice>
      <mc:Fallback>
        <oleObject progId="Packager Shell Object" dvAspect="DVASPECT_ICON" shapeId="2097" r:id="rId90"/>
      </mc:Fallback>
    </mc:AlternateContent>
    <mc:AlternateContent xmlns:mc="http://schemas.openxmlformats.org/markup-compatibility/2006">
      <mc:Choice Requires="x14">
        <oleObject progId="Packager Shell Object" dvAspect="DVASPECT_ICON" shapeId="2098" r:id="rId92">
          <objectPr defaultSize="0" autoPict="0" r:id="rId93">
            <anchor moveWithCells="1">
              <from>
                <xdr:col>19</xdr:col>
                <xdr:colOff>44450</xdr:colOff>
                <xdr:row>26</xdr:row>
                <xdr:rowOff>82550</xdr:rowOff>
              </from>
              <to>
                <xdr:col>19</xdr:col>
                <xdr:colOff>355600</xdr:colOff>
                <xdr:row>26</xdr:row>
                <xdr:rowOff>311150</xdr:rowOff>
              </to>
            </anchor>
          </objectPr>
        </oleObject>
      </mc:Choice>
      <mc:Fallback>
        <oleObject progId="Packager Shell Object" dvAspect="DVASPECT_ICON" shapeId="2098" r:id="rId92"/>
      </mc:Fallback>
    </mc:AlternateContent>
    <mc:AlternateContent xmlns:mc="http://schemas.openxmlformats.org/markup-compatibility/2006">
      <mc:Choice Requires="x14">
        <oleObject progId="Packager Shell Object" dvAspect="DVASPECT_ICON" shapeId="2099" r:id="rId94">
          <objectPr defaultSize="0" autoPict="0" r:id="rId95">
            <anchor moveWithCells="1">
              <from>
                <xdr:col>19</xdr:col>
                <xdr:colOff>38100</xdr:colOff>
                <xdr:row>64</xdr:row>
                <xdr:rowOff>69850</xdr:rowOff>
              </from>
              <to>
                <xdr:col>19</xdr:col>
                <xdr:colOff>374650</xdr:colOff>
                <xdr:row>64</xdr:row>
                <xdr:rowOff>298450</xdr:rowOff>
              </to>
            </anchor>
          </objectPr>
        </oleObject>
      </mc:Choice>
      <mc:Fallback>
        <oleObject progId="Packager Shell Object" dvAspect="DVASPECT_ICON" shapeId="2099" r:id="rId94"/>
      </mc:Fallback>
    </mc:AlternateContent>
    <mc:AlternateContent xmlns:mc="http://schemas.openxmlformats.org/markup-compatibility/2006">
      <mc:Choice Requires="x14">
        <oleObject progId="Packager Shell Object" dvAspect="DVASPECT_ICON" shapeId="2100" r:id="rId96">
          <objectPr defaultSize="0" autoPict="0" r:id="rId97">
            <anchor moveWithCells="1">
              <from>
                <xdr:col>19</xdr:col>
                <xdr:colOff>12700</xdr:colOff>
                <xdr:row>70</xdr:row>
                <xdr:rowOff>25400</xdr:rowOff>
              </from>
              <to>
                <xdr:col>19</xdr:col>
                <xdr:colOff>323850</xdr:colOff>
                <xdr:row>70</xdr:row>
                <xdr:rowOff>171450</xdr:rowOff>
              </to>
            </anchor>
          </objectPr>
        </oleObject>
      </mc:Choice>
      <mc:Fallback>
        <oleObject progId="Packager Shell Object" dvAspect="DVASPECT_ICON" shapeId="2100" r:id="rId96"/>
      </mc:Fallback>
    </mc:AlternateContent>
    <mc:AlternateContent xmlns:mc="http://schemas.openxmlformats.org/markup-compatibility/2006">
      <mc:Choice Requires="x14">
        <oleObject progId="Packager Shell Object" dvAspect="DVASPECT_ICON" shapeId="2101" r:id="rId98">
          <objectPr defaultSize="0" autoPict="0" r:id="rId99">
            <anchor moveWithCells="1">
              <from>
                <xdr:col>18</xdr:col>
                <xdr:colOff>165100</xdr:colOff>
                <xdr:row>97</xdr:row>
                <xdr:rowOff>184150</xdr:rowOff>
              </from>
              <to>
                <xdr:col>19</xdr:col>
                <xdr:colOff>196850</xdr:colOff>
                <xdr:row>97</xdr:row>
                <xdr:rowOff>387350</xdr:rowOff>
              </to>
            </anchor>
          </objectPr>
        </oleObject>
      </mc:Choice>
      <mc:Fallback>
        <oleObject progId="Packager Shell Object" dvAspect="DVASPECT_ICON" shapeId="2101" r:id="rId98"/>
      </mc:Fallback>
    </mc:AlternateContent>
    <mc:AlternateContent xmlns:mc="http://schemas.openxmlformats.org/markup-compatibility/2006">
      <mc:Choice Requires="x14">
        <oleObject progId="Packager Shell Object" dvAspect="DVASPECT_ICON" shapeId="2103" r:id="rId100">
          <objectPr defaultSize="0" autoPict="0" r:id="rId101">
            <anchor moveWithCells="1">
              <from>
                <xdr:col>19</xdr:col>
                <xdr:colOff>69850</xdr:colOff>
                <xdr:row>107</xdr:row>
                <xdr:rowOff>400050</xdr:rowOff>
              </from>
              <to>
                <xdr:col>19</xdr:col>
                <xdr:colOff>336550</xdr:colOff>
                <xdr:row>107</xdr:row>
                <xdr:rowOff>609600</xdr:rowOff>
              </to>
            </anchor>
          </objectPr>
        </oleObject>
      </mc:Choice>
      <mc:Fallback>
        <oleObject progId="Packager Shell Object" dvAspect="DVASPECT_ICON" shapeId="2103" r:id="rId100"/>
      </mc:Fallback>
    </mc:AlternateContent>
    <mc:AlternateContent xmlns:mc="http://schemas.openxmlformats.org/markup-compatibility/2006">
      <mc:Choice Requires="x14">
        <oleObject progId="Packager Shell Object" dvAspect="DVASPECT_ICON" shapeId="2104" r:id="rId102">
          <objectPr defaultSize="0" autoPict="0" r:id="rId103">
            <anchor moveWithCells="1">
              <from>
                <xdr:col>19</xdr:col>
                <xdr:colOff>69850</xdr:colOff>
                <xdr:row>108</xdr:row>
                <xdr:rowOff>88900</xdr:rowOff>
              </from>
              <to>
                <xdr:col>19</xdr:col>
                <xdr:colOff>336550</xdr:colOff>
                <xdr:row>108</xdr:row>
                <xdr:rowOff>330200</xdr:rowOff>
              </to>
            </anchor>
          </objectPr>
        </oleObject>
      </mc:Choice>
      <mc:Fallback>
        <oleObject progId="Packager Shell Object" dvAspect="DVASPECT_ICON" shapeId="2104" r:id="rId102"/>
      </mc:Fallback>
    </mc:AlternateContent>
    <mc:AlternateContent xmlns:mc="http://schemas.openxmlformats.org/markup-compatibility/2006">
      <mc:Choice Requires="x14">
        <oleObject progId="Packager Shell Object" dvAspect="DVASPECT_ICON" shapeId="2105" r:id="rId104">
          <objectPr defaultSize="0" autoPict="0" r:id="rId105">
            <anchor moveWithCells="1">
              <from>
                <xdr:col>19</xdr:col>
                <xdr:colOff>69850</xdr:colOff>
                <xdr:row>109</xdr:row>
                <xdr:rowOff>95250</xdr:rowOff>
              </from>
              <to>
                <xdr:col>19</xdr:col>
                <xdr:colOff>374650</xdr:colOff>
                <xdr:row>109</xdr:row>
                <xdr:rowOff>336550</xdr:rowOff>
              </to>
            </anchor>
          </objectPr>
        </oleObject>
      </mc:Choice>
      <mc:Fallback>
        <oleObject progId="Packager Shell Object" dvAspect="DVASPECT_ICON" shapeId="2105" r:id="rId104"/>
      </mc:Fallback>
    </mc:AlternateContent>
    <mc:AlternateContent xmlns:mc="http://schemas.openxmlformats.org/markup-compatibility/2006">
      <mc:Choice Requires="x14">
        <oleObject progId="Packager Shell Object" dvAspect="DVASPECT_ICON" shapeId="2106" r:id="rId106">
          <objectPr defaultSize="0" autoPict="0" r:id="rId107">
            <anchor moveWithCells="1">
              <from>
                <xdr:col>19</xdr:col>
                <xdr:colOff>82550</xdr:colOff>
                <xdr:row>110</xdr:row>
                <xdr:rowOff>0</xdr:rowOff>
              </from>
              <to>
                <xdr:col>19</xdr:col>
                <xdr:colOff>355600</xdr:colOff>
                <xdr:row>110</xdr:row>
                <xdr:rowOff>177800</xdr:rowOff>
              </to>
            </anchor>
          </objectPr>
        </oleObject>
      </mc:Choice>
      <mc:Fallback>
        <oleObject progId="Packager Shell Object" dvAspect="DVASPECT_ICON" shapeId="2106" r:id="rId106"/>
      </mc:Fallback>
    </mc:AlternateContent>
    <mc:AlternateContent xmlns:mc="http://schemas.openxmlformats.org/markup-compatibility/2006">
      <mc:Choice Requires="x14">
        <oleObject progId="Packager Shell Object" dvAspect="DVASPECT_ICON" shapeId="2107" r:id="rId108">
          <objectPr defaultSize="0" autoPict="0" r:id="rId109">
            <anchor moveWithCells="1">
              <from>
                <xdr:col>19</xdr:col>
                <xdr:colOff>158750</xdr:colOff>
                <xdr:row>114</xdr:row>
                <xdr:rowOff>234950</xdr:rowOff>
              </from>
              <to>
                <xdr:col>19</xdr:col>
                <xdr:colOff>463550</xdr:colOff>
                <xdr:row>115</xdr:row>
                <xdr:rowOff>158750</xdr:rowOff>
              </to>
            </anchor>
          </objectPr>
        </oleObject>
      </mc:Choice>
      <mc:Fallback>
        <oleObject progId="Packager Shell Object" dvAspect="DVASPECT_ICON" shapeId="2107" r:id="rId108"/>
      </mc:Fallback>
    </mc:AlternateContent>
    <mc:AlternateContent xmlns:mc="http://schemas.openxmlformats.org/markup-compatibility/2006">
      <mc:Choice Requires="x14">
        <oleObject progId="Packager Shell Object" dvAspect="DVASPECT_ICON" shapeId="2108" r:id="rId110">
          <objectPr defaultSize="0" autoPict="0" r:id="rId111">
            <anchor moveWithCells="1">
              <from>
                <xdr:col>19</xdr:col>
                <xdr:colOff>88900</xdr:colOff>
                <xdr:row>111</xdr:row>
                <xdr:rowOff>241300</xdr:rowOff>
              </from>
              <to>
                <xdr:col>19</xdr:col>
                <xdr:colOff>406400</xdr:colOff>
                <xdr:row>112</xdr:row>
                <xdr:rowOff>101600</xdr:rowOff>
              </to>
            </anchor>
          </objectPr>
        </oleObject>
      </mc:Choice>
      <mc:Fallback>
        <oleObject progId="Packager Shell Object" dvAspect="DVASPECT_ICON" shapeId="2108" r:id="rId110"/>
      </mc:Fallback>
    </mc:AlternateContent>
    <mc:AlternateContent xmlns:mc="http://schemas.openxmlformats.org/markup-compatibility/2006">
      <mc:Choice Requires="x14">
        <oleObject progId="Packager Shell Object" dvAspect="DVASPECT_ICON" shapeId="2109" r:id="rId112">
          <objectPr defaultSize="0" autoPict="0" r:id="rId113">
            <anchor moveWithCells="1">
              <from>
                <xdr:col>19</xdr:col>
                <xdr:colOff>127000</xdr:colOff>
                <xdr:row>113</xdr:row>
                <xdr:rowOff>50800</xdr:rowOff>
              </from>
              <to>
                <xdr:col>19</xdr:col>
                <xdr:colOff>450850</xdr:colOff>
                <xdr:row>113</xdr:row>
                <xdr:rowOff>304800</xdr:rowOff>
              </to>
            </anchor>
          </objectPr>
        </oleObject>
      </mc:Choice>
      <mc:Fallback>
        <oleObject progId="Packager Shell Object" dvAspect="DVASPECT_ICON" shapeId="2109" r:id="rId112"/>
      </mc:Fallback>
    </mc:AlternateContent>
    <mc:AlternateContent xmlns:mc="http://schemas.openxmlformats.org/markup-compatibility/2006">
      <mc:Choice Requires="x14">
        <oleObject progId="Packager Shell Object" dvAspect="DVASPECT_ICON" shapeId="2110" r:id="rId114">
          <objectPr defaultSize="0" autoPict="0" r:id="rId115">
            <anchor moveWithCells="1">
              <from>
                <xdr:col>19</xdr:col>
                <xdr:colOff>190500</xdr:colOff>
                <xdr:row>119</xdr:row>
                <xdr:rowOff>6350</xdr:rowOff>
              </from>
              <to>
                <xdr:col>19</xdr:col>
                <xdr:colOff>425450</xdr:colOff>
                <xdr:row>120</xdr:row>
                <xdr:rowOff>0</xdr:rowOff>
              </to>
            </anchor>
          </objectPr>
        </oleObject>
      </mc:Choice>
      <mc:Fallback>
        <oleObject progId="Packager Shell Object" dvAspect="DVASPECT_ICON" shapeId="2110" r:id="rId114"/>
      </mc:Fallback>
    </mc:AlternateContent>
    <mc:AlternateContent xmlns:mc="http://schemas.openxmlformats.org/markup-compatibility/2006">
      <mc:Choice Requires="x14">
        <oleObject progId="Packager Shell Object" dvAspect="DVASPECT_ICON" shapeId="2111" r:id="rId116">
          <objectPr defaultSize="0" autoPict="0" r:id="rId117">
            <anchor moveWithCells="1">
              <from>
                <xdr:col>19</xdr:col>
                <xdr:colOff>171450</xdr:colOff>
                <xdr:row>116</xdr:row>
                <xdr:rowOff>76200</xdr:rowOff>
              </from>
              <to>
                <xdr:col>19</xdr:col>
                <xdr:colOff>450850</xdr:colOff>
                <xdr:row>116</xdr:row>
                <xdr:rowOff>285750</xdr:rowOff>
              </to>
            </anchor>
          </objectPr>
        </oleObject>
      </mc:Choice>
      <mc:Fallback>
        <oleObject progId="Packager Shell Object" dvAspect="DVASPECT_ICON" shapeId="2111" r:id="rId116"/>
      </mc:Fallback>
    </mc:AlternateContent>
    <mc:AlternateContent xmlns:mc="http://schemas.openxmlformats.org/markup-compatibility/2006">
      <mc:Choice Requires="x14">
        <oleObject progId="Packager Shell Object" dvAspect="DVASPECT_ICON" shapeId="2112" r:id="rId118">
          <objectPr defaultSize="0" autoPict="0" r:id="rId119">
            <anchor moveWithCells="1">
              <from>
                <xdr:col>19</xdr:col>
                <xdr:colOff>152400</xdr:colOff>
                <xdr:row>117</xdr:row>
                <xdr:rowOff>114300</xdr:rowOff>
              </from>
              <to>
                <xdr:col>19</xdr:col>
                <xdr:colOff>450850</xdr:colOff>
                <xdr:row>118</xdr:row>
                <xdr:rowOff>152400</xdr:rowOff>
              </to>
            </anchor>
          </objectPr>
        </oleObject>
      </mc:Choice>
      <mc:Fallback>
        <oleObject progId="Packager Shell Object" dvAspect="DVASPECT_ICON" shapeId="2112" r:id="rId118"/>
      </mc:Fallback>
    </mc:AlternateContent>
    <mc:AlternateContent xmlns:mc="http://schemas.openxmlformats.org/markup-compatibility/2006">
      <mc:Choice Requires="x14">
        <oleObject progId="Packager Shell Object" dvAspect="DVASPECT_ICON" shapeId="2113" r:id="rId120">
          <objectPr defaultSize="0" autoPict="0" r:id="rId121">
            <anchor moveWithCells="1">
              <from>
                <xdr:col>19</xdr:col>
                <xdr:colOff>203200</xdr:colOff>
                <xdr:row>121</xdr:row>
                <xdr:rowOff>19050</xdr:rowOff>
              </from>
              <to>
                <xdr:col>19</xdr:col>
                <xdr:colOff>425450</xdr:colOff>
                <xdr:row>122</xdr:row>
                <xdr:rowOff>0</xdr:rowOff>
              </to>
            </anchor>
          </objectPr>
        </oleObject>
      </mc:Choice>
      <mc:Fallback>
        <oleObject progId="Packager Shell Object" dvAspect="DVASPECT_ICON" shapeId="2113" r:id="rId120"/>
      </mc:Fallback>
    </mc:AlternateContent>
    <mc:AlternateContent xmlns:mc="http://schemas.openxmlformats.org/markup-compatibility/2006">
      <mc:Choice Requires="x14">
        <oleObject progId="Packager Shell Object" dvAspect="DVASPECT_ICON" shapeId="2114" r:id="rId122">
          <objectPr defaultSize="0" autoPict="0" r:id="rId123">
            <anchor moveWithCells="1">
              <from>
                <xdr:col>19</xdr:col>
                <xdr:colOff>165100</xdr:colOff>
                <xdr:row>120</xdr:row>
                <xdr:rowOff>88900</xdr:rowOff>
              </from>
              <to>
                <xdr:col>19</xdr:col>
                <xdr:colOff>425450</xdr:colOff>
                <xdr:row>120</xdr:row>
                <xdr:rowOff>330200</xdr:rowOff>
              </to>
            </anchor>
          </objectPr>
        </oleObject>
      </mc:Choice>
      <mc:Fallback>
        <oleObject progId="Packager Shell Object" dvAspect="DVASPECT_ICON" shapeId="2114" r:id="rId122"/>
      </mc:Fallback>
    </mc:AlternateContent>
    <mc:AlternateContent xmlns:mc="http://schemas.openxmlformats.org/markup-compatibility/2006">
      <mc:Choice Requires="x14">
        <oleObject progId="Packager Shell Object" dvAspect="DVASPECT_ICON" shapeId="2115" r:id="rId124">
          <objectPr defaultSize="0" autoPict="0" r:id="rId125">
            <anchor moveWithCells="1">
              <from>
                <xdr:col>19</xdr:col>
                <xdr:colOff>203200</xdr:colOff>
                <xdr:row>124</xdr:row>
                <xdr:rowOff>95250</xdr:rowOff>
              </from>
              <to>
                <xdr:col>19</xdr:col>
                <xdr:colOff>450850</xdr:colOff>
                <xdr:row>124</xdr:row>
                <xdr:rowOff>298450</xdr:rowOff>
              </to>
            </anchor>
          </objectPr>
        </oleObject>
      </mc:Choice>
      <mc:Fallback>
        <oleObject progId="Packager Shell Object" dvAspect="DVASPECT_ICON" shapeId="2115" r:id="rId124"/>
      </mc:Fallback>
    </mc:AlternateContent>
    <mc:AlternateContent xmlns:mc="http://schemas.openxmlformats.org/markup-compatibility/2006">
      <mc:Choice Requires="x14">
        <oleObject progId="Packager Shell Object" dvAspect="DVASPECT_ICON" shapeId="2116" r:id="rId126">
          <objectPr defaultSize="0" autoPict="0" r:id="rId127">
            <anchor moveWithCells="1">
              <from>
                <xdr:col>19</xdr:col>
                <xdr:colOff>196850</xdr:colOff>
                <xdr:row>128</xdr:row>
                <xdr:rowOff>88900</xdr:rowOff>
              </from>
              <to>
                <xdr:col>19</xdr:col>
                <xdr:colOff>425450</xdr:colOff>
                <xdr:row>128</xdr:row>
                <xdr:rowOff>292100</xdr:rowOff>
              </to>
            </anchor>
          </objectPr>
        </oleObject>
      </mc:Choice>
      <mc:Fallback>
        <oleObject progId="Packager Shell Object" dvAspect="DVASPECT_ICON" shapeId="2116" r:id="rId126"/>
      </mc:Fallback>
    </mc:AlternateContent>
    <mc:AlternateContent xmlns:mc="http://schemas.openxmlformats.org/markup-compatibility/2006">
      <mc:Choice Requires="x14">
        <oleObject progId="Packager Shell Object" dvAspect="DVASPECT_ICON" shapeId="2117" r:id="rId128">
          <objectPr defaultSize="0" autoPict="0" r:id="rId129">
            <anchor moveWithCells="1">
              <from>
                <xdr:col>19</xdr:col>
                <xdr:colOff>152400</xdr:colOff>
                <xdr:row>129</xdr:row>
                <xdr:rowOff>438150</xdr:rowOff>
              </from>
              <to>
                <xdr:col>19</xdr:col>
                <xdr:colOff>419100</xdr:colOff>
                <xdr:row>130</xdr:row>
                <xdr:rowOff>101600</xdr:rowOff>
              </to>
            </anchor>
          </objectPr>
        </oleObject>
      </mc:Choice>
      <mc:Fallback>
        <oleObject progId="Packager Shell Object" dvAspect="DVASPECT_ICON" shapeId="2117" r:id="rId128"/>
      </mc:Fallback>
    </mc:AlternateContent>
    <mc:AlternateContent xmlns:mc="http://schemas.openxmlformats.org/markup-compatibility/2006">
      <mc:Choice Requires="x14">
        <oleObject progId="Packager Shell Object" dvAspect="DVASPECT_ICON" shapeId="2118" r:id="rId130">
          <objectPr defaultSize="0" autoPict="0" r:id="rId131">
            <anchor moveWithCells="1">
              <from>
                <xdr:col>19</xdr:col>
                <xdr:colOff>196850</xdr:colOff>
                <xdr:row>131</xdr:row>
                <xdr:rowOff>101600</xdr:rowOff>
              </from>
              <to>
                <xdr:col>19</xdr:col>
                <xdr:colOff>419100</xdr:colOff>
                <xdr:row>131</xdr:row>
                <xdr:rowOff>260350</xdr:rowOff>
              </to>
            </anchor>
          </objectPr>
        </oleObject>
      </mc:Choice>
      <mc:Fallback>
        <oleObject progId="Packager Shell Object" dvAspect="DVASPECT_ICON" shapeId="2118" r:id="rId130"/>
      </mc:Fallback>
    </mc:AlternateContent>
    <mc:AlternateContent xmlns:mc="http://schemas.openxmlformats.org/markup-compatibility/2006">
      <mc:Choice Requires="x14">
        <oleObject progId="Packager Shell Object" dvAspect="DVASPECT_ICON" shapeId="2119" r:id="rId132">
          <objectPr defaultSize="0" autoPict="0" r:id="rId133">
            <anchor moveWithCells="1">
              <from>
                <xdr:col>19</xdr:col>
                <xdr:colOff>0</xdr:colOff>
                <xdr:row>28</xdr:row>
                <xdr:rowOff>146050</xdr:rowOff>
              </from>
              <to>
                <xdr:col>19</xdr:col>
                <xdr:colOff>419100</xdr:colOff>
                <xdr:row>28</xdr:row>
                <xdr:rowOff>476250</xdr:rowOff>
              </to>
            </anchor>
          </objectPr>
        </oleObject>
      </mc:Choice>
      <mc:Fallback>
        <oleObject progId="Packager Shell Object" dvAspect="DVASPECT_ICON" shapeId="2119" r:id="rId132"/>
      </mc:Fallback>
    </mc:AlternateContent>
    <mc:AlternateContent xmlns:mc="http://schemas.openxmlformats.org/markup-compatibility/2006">
      <mc:Choice Requires="x14">
        <oleObject progId="Packager Shell Object" dvAspect="DVASPECT_ICON" shapeId="2120" r:id="rId134">
          <objectPr defaultSize="0" autoPict="0" r:id="rId135">
            <anchor moveWithCells="1">
              <from>
                <xdr:col>19</xdr:col>
                <xdr:colOff>171450</xdr:colOff>
                <xdr:row>132</xdr:row>
                <xdr:rowOff>209550</xdr:rowOff>
              </from>
              <to>
                <xdr:col>19</xdr:col>
                <xdr:colOff>387350</xdr:colOff>
                <xdr:row>132</xdr:row>
                <xdr:rowOff>374650</xdr:rowOff>
              </to>
            </anchor>
          </objectPr>
        </oleObject>
      </mc:Choice>
      <mc:Fallback>
        <oleObject progId="Packager Shell Object" dvAspect="DVASPECT_ICON" shapeId="2120" r:id="rId134"/>
      </mc:Fallback>
    </mc:AlternateContent>
    <mc:AlternateContent xmlns:mc="http://schemas.openxmlformats.org/markup-compatibility/2006">
      <mc:Choice Requires="x14">
        <oleObject progId="Packager Shell Object" dvAspect="DVASPECT_ICON" shapeId="2121" r:id="rId136">
          <objectPr defaultSize="0" autoPict="0" r:id="rId137">
            <anchor moveWithCells="1">
              <from>
                <xdr:col>19</xdr:col>
                <xdr:colOff>44450</xdr:colOff>
                <xdr:row>135</xdr:row>
                <xdr:rowOff>247650</xdr:rowOff>
              </from>
              <to>
                <xdr:col>19</xdr:col>
                <xdr:colOff>292100</xdr:colOff>
                <xdr:row>135</xdr:row>
                <xdr:rowOff>412750</xdr:rowOff>
              </to>
            </anchor>
          </objectPr>
        </oleObject>
      </mc:Choice>
      <mc:Fallback>
        <oleObject progId="Packager Shell Object" dvAspect="DVASPECT_ICON" shapeId="2121" r:id="rId136"/>
      </mc:Fallback>
    </mc:AlternateContent>
    <mc:AlternateContent xmlns:mc="http://schemas.openxmlformats.org/markup-compatibility/2006">
      <mc:Choice Requires="x14">
        <oleObject progId="Packager Shell Object" dvAspect="DVASPECT_ICON" shapeId="2122" r:id="rId138">
          <objectPr defaultSize="0" autoPict="0" r:id="rId139">
            <anchor moveWithCells="1">
              <from>
                <xdr:col>19</xdr:col>
                <xdr:colOff>393700</xdr:colOff>
                <xdr:row>135</xdr:row>
                <xdr:rowOff>247650</xdr:rowOff>
              </from>
              <to>
                <xdr:col>20</xdr:col>
                <xdr:colOff>12700</xdr:colOff>
                <xdr:row>135</xdr:row>
                <xdr:rowOff>419100</xdr:rowOff>
              </to>
            </anchor>
          </objectPr>
        </oleObject>
      </mc:Choice>
      <mc:Fallback>
        <oleObject progId="Packager Shell Object" dvAspect="DVASPECT_ICON" shapeId="2122" r:id="rId138"/>
      </mc:Fallback>
    </mc:AlternateContent>
    <mc:AlternateContent xmlns:mc="http://schemas.openxmlformats.org/markup-compatibility/2006">
      <mc:Choice Requires="x14">
        <oleObject progId="Packager Shell Object" dvAspect="DVASPECT_ICON" shapeId="2123" r:id="rId140">
          <objectPr defaultSize="0" autoPict="0" r:id="rId141">
            <anchor moveWithCells="1">
              <from>
                <xdr:col>19</xdr:col>
                <xdr:colOff>139700</xdr:colOff>
                <xdr:row>137</xdr:row>
                <xdr:rowOff>387350</xdr:rowOff>
              </from>
              <to>
                <xdr:col>19</xdr:col>
                <xdr:colOff>450850</xdr:colOff>
                <xdr:row>137</xdr:row>
                <xdr:rowOff>609600</xdr:rowOff>
              </to>
            </anchor>
          </objectPr>
        </oleObject>
      </mc:Choice>
      <mc:Fallback>
        <oleObject progId="Packager Shell Object" dvAspect="DVASPECT_ICON" shapeId="2123" r:id="rId140"/>
      </mc:Fallback>
    </mc:AlternateContent>
    <mc:AlternateContent xmlns:mc="http://schemas.openxmlformats.org/markup-compatibility/2006">
      <mc:Choice Requires="x14">
        <oleObject progId="Packager Shell Object" dvAspect="DVASPECT_ICON" shapeId="2124" r:id="rId142">
          <objectPr defaultSize="0" autoPict="0" r:id="rId143">
            <anchor moveWithCells="1">
              <from>
                <xdr:col>19</xdr:col>
                <xdr:colOff>139700</xdr:colOff>
                <xdr:row>138</xdr:row>
                <xdr:rowOff>165100</xdr:rowOff>
              </from>
              <to>
                <xdr:col>19</xdr:col>
                <xdr:colOff>450850</xdr:colOff>
                <xdr:row>139</xdr:row>
                <xdr:rowOff>6350</xdr:rowOff>
              </to>
            </anchor>
          </objectPr>
        </oleObject>
      </mc:Choice>
      <mc:Fallback>
        <oleObject progId="Packager Shell Object" dvAspect="DVASPECT_ICON" shapeId="2124" r:id="rId142"/>
      </mc:Fallback>
    </mc:AlternateContent>
    <mc:AlternateContent xmlns:mc="http://schemas.openxmlformats.org/markup-compatibility/2006">
      <mc:Choice Requires="x14">
        <oleObject progId="Packager Shell Object" dvAspect="DVASPECT_ICON" shapeId="2125" r:id="rId144">
          <objectPr defaultSize="0" autoPict="0" r:id="rId145">
            <anchor moveWithCells="1">
              <from>
                <xdr:col>19</xdr:col>
                <xdr:colOff>127000</xdr:colOff>
                <xdr:row>139</xdr:row>
                <xdr:rowOff>69850</xdr:rowOff>
              </from>
              <to>
                <xdr:col>19</xdr:col>
                <xdr:colOff>406400</xdr:colOff>
                <xdr:row>139</xdr:row>
                <xdr:rowOff>279400</xdr:rowOff>
              </to>
            </anchor>
          </objectPr>
        </oleObject>
      </mc:Choice>
      <mc:Fallback>
        <oleObject progId="Packager Shell Object" dvAspect="DVASPECT_ICON" shapeId="2125" r:id="rId144"/>
      </mc:Fallback>
    </mc:AlternateContent>
    <mc:AlternateContent xmlns:mc="http://schemas.openxmlformats.org/markup-compatibility/2006">
      <mc:Choice Requires="x14">
        <oleObject progId="Packager Shell Object" dvAspect="DVASPECT_ICON" shapeId="2126" r:id="rId146">
          <objectPr defaultSize="0" autoPict="0" r:id="rId147">
            <anchor moveWithCells="1">
              <from>
                <xdr:col>19</xdr:col>
                <xdr:colOff>152400</xdr:colOff>
                <xdr:row>142</xdr:row>
                <xdr:rowOff>12700</xdr:rowOff>
              </from>
              <to>
                <xdr:col>19</xdr:col>
                <xdr:colOff>450850</xdr:colOff>
                <xdr:row>143</xdr:row>
                <xdr:rowOff>50800</xdr:rowOff>
              </to>
            </anchor>
          </objectPr>
        </oleObject>
      </mc:Choice>
      <mc:Fallback>
        <oleObject progId="Packager Shell Object" dvAspect="DVASPECT_ICON" shapeId="2126" r:id="rId146"/>
      </mc:Fallback>
    </mc:AlternateContent>
    <mc:AlternateContent xmlns:mc="http://schemas.openxmlformats.org/markup-compatibility/2006">
      <mc:Choice Requires="x14">
        <oleObject progId="Packager Shell Object" dvAspect="DVASPECT_ICON" shapeId="2127" r:id="rId148">
          <objectPr defaultSize="0" autoPict="0" r:id="rId149">
            <anchor moveWithCells="1">
              <from>
                <xdr:col>19</xdr:col>
                <xdr:colOff>133350</xdr:colOff>
                <xdr:row>145</xdr:row>
                <xdr:rowOff>127000</xdr:rowOff>
              </from>
              <to>
                <xdr:col>19</xdr:col>
                <xdr:colOff>450850</xdr:colOff>
                <xdr:row>146</xdr:row>
                <xdr:rowOff>171450</xdr:rowOff>
              </to>
            </anchor>
          </objectPr>
        </oleObject>
      </mc:Choice>
      <mc:Fallback>
        <oleObject progId="Packager Shell Object" dvAspect="DVASPECT_ICON" shapeId="2127" r:id="rId148"/>
      </mc:Fallback>
    </mc:AlternateContent>
    <mc:AlternateContent xmlns:mc="http://schemas.openxmlformats.org/markup-compatibility/2006">
      <mc:Choice Requires="x14">
        <oleObject progId="Packager Shell Object" dvAspect="DVASPECT_ICON" shapeId="2128" r:id="rId150">
          <objectPr defaultSize="0" autoPict="0" r:id="rId151">
            <anchor moveWithCells="1">
              <from>
                <xdr:col>19</xdr:col>
                <xdr:colOff>152400</xdr:colOff>
                <xdr:row>147</xdr:row>
                <xdr:rowOff>171450</xdr:rowOff>
              </from>
              <to>
                <xdr:col>19</xdr:col>
                <xdr:colOff>457200</xdr:colOff>
                <xdr:row>147</xdr:row>
                <xdr:rowOff>412750</xdr:rowOff>
              </to>
            </anchor>
          </objectPr>
        </oleObject>
      </mc:Choice>
      <mc:Fallback>
        <oleObject progId="Packager Shell Object" dvAspect="DVASPECT_ICON" shapeId="2128" r:id="rId150"/>
      </mc:Fallback>
    </mc:AlternateContent>
    <mc:AlternateContent xmlns:mc="http://schemas.openxmlformats.org/markup-compatibility/2006">
      <mc:Choice Requires="x14">
        <oleObject progId="Packager Shell Object" dvAspect="DVASPECT_ICON" shapeId="2129" r:id="rId152">
          <objectPr defaultSize="0" autoPict="0" r:id="rId153">
            <anchor moveWithCells="1">
              <from>
                <xdr:col>19</xdr:col>
                <xdr:colOff>177800</xdr:colOff>
                <xdr:row>151</xdr:row>
                <xdr:rowOff>88900</xdr:rowOff>
              </from>
              <to>
                <xdr:col>19</xdr:col>
                <xdr:colOff>450850</xdr:colOff>
                <xdr:row>151</xdr:row>
                <xdr:rowOff>298450</xdr:rowOff>
              </to>
            </anchor>
          </objectPr>
        </oleObject>
      </mc:Choice>
      <mc:Fallback>
        <oleObject progId="Packager Shell Object" dvAspect="DVASPECT_ICON" shapeId="2129" r:id="rId152"/>
      </mc:Fallback>
    </mc:AlternateContent>
    <mc:AlternateContent xmlns:mc="http://schemas.openxmlformats.org/markup-compatibility/2006">
      <mc:Choice Requires="x14">
        <oleObject progId="Packager Shell Object" dvAspect="DVASPECT_ICON" shapeId="2130" r:id="rId154">
          <objectPr defaultSize="0" autoPict="0" r:id="rId155">
            <anchor moveWithCells="1">
              <from>
                <xdr:col>19</xdr:col>
                <xdr:colOff>171450</xdr:colOff>
                <xdr:row>152</xdr:row>
                <xdr:rowOff>552450</xdr:rowOff>
              </from>
              <to>
                <xdr:col>19</xdr:col>
                <xdr:colOff>450850</xdr:colOff>
                <xdr:row>152</xdr:row>
                <xdr:rowOff>762000</xdr:rowOff>
              </to>
            </anchor>
          </objectPr>
        </oleObject>
      </mc:Choice>
      <mc:Fallback>
        <oleObject progId="Packager Shell Object" dvAspect="DVASPECT_ICON" shapeId="2130" r:id="rId154"/>
      </mc:Fallback>
    </mc:AlternateContent>
    <mc:AlternateContent xmlns:mc="http://schemas.openxmlformats.org/markup-compatibility/2006">
      <mc:Choice Requires="x14">
        <oleObject progId="Packager Shell Object" dvAspect="DVASPECT_ICON" shapeId="2131" r:id="rId156">
          <objectPr defaultSize="0" autoPict="0" r:id="rId157">
            <anchor moveWithCells="1">
              <from>
                <xdr:col>19</xdr:col>
                <xdr:colOff>158750</xdr:colOff>
                <xdr:row>153</xdr:row>
                <xdr:rowOff>171450</xdr:rowOff>
              </from>
              <to>
                <xdr:col>19</xdr:col>
                <xdr:colOff>431800</xdr:colOff>
                <xdr:row>153</xdr:row>
                <xdr:rowOff>381000</xdr:rowOff>
              </to>
            </anchor>
          </objectPr>
        </oleObject>
      </mc:Choice>
      <mc:Fallback>
        <oleObject progId="Packager Shell Object" dvAspect="DVASPECT_ICON" shapeId="2131" r:id="rId156"/>
      </mc:Fallback>
    </mc:AlternateContent>
    <mc:AlternateContent xmlns:mc="http://schemas.openxmlformats.org/markup-compatibility/2006">
      <mc:Choice Requires="x14">
        <oleObject progId="Packager Shell Object" dvAspect="DVASPECT_ICON" shapeId="2132" r:id="rId158">
          <objectPr defaultSize="0" autoPict="0" r:id="rId159">
            <anchor moveWithCells="1">
              <from>
                <xdr:col>19</xdr:col>
                <xdr:colOff>165100</xdr:colOff>
                <xdr:row>157</xdr:row>
                <xdr:rowOff>762000</xdr:rowOff>
              </from>
              <to>
                <xdr:col>19</xdr:col>
                <xdr:colOff>438150</xdr:colOff>
                <xdr:row>158</xdr:row>
                <xdr:rowOff>133350</xdr:rowOff>
              </to>
            </anchor>
          </objectPr>
        </oleObject>
      </mc:Choice>
      <mc:Fallback>
        <oleObject progId="Packager Shell Object" dvAspect="DVASPECT_ICON" shapeId="2132" r:id="rId158"/>
      </mc:Fallback>
    </mc:AlternateContent>
    <mc:AlternateContent xmlns:mc="http://schemas.openxmlformats.org/markup-compatibility/2006">
      <mc:Choice Requires="x14">
        <oleObject progId="Packager Shell Object" dvAspect="DVASPECT_ICON" shapeId="2133" r:id="rId160">
          <objectPr defaultSize="0" autoPict="0" r:id="rId161">
            <anchor moveWithCells="1">
              <from>
                <xdr:col>19</xdr:col>
                <xdr:colOff>196850</xdr:colOff>
                <xdr:row>156</xdr:row>
                <xdr:rowOff>6350</xdr:rowOff>
              </from>
              <to>
                <xdr:col>19</xdr:col>
                <xdr:colOff>450850</xdr:colOff>
                <xdr:row>157</xdr:row>
                <xdr:rowOff>12700</xdr:rowOff>
              </to>
            </anchor>
          </objectPr>
        </oleObject>
      </mc:Choice>
      <mc:Fallback>
        <oleObject progId="Packager Shell Object" dvAspect="DVASPECT_ICON" shapeId="2133" r:id="rId160"/>
      </mc:Fallback>
    </mc:AlternateContent>
    <mc:AlternateContent xmlns:mc="http://schemas.openxmlformats.org/markup-compatibility/2006">
      <mc:Choice Requires="x14">
        <oleObject progId="Packager Shell Object" dvAspect="DVASPECT_ICON" shapeId="2134" r:id="rId162">
          <objectPr defaultSize="0" autoPict="0" r:id="rId163">
            <anchor moveWithCells="1">
              <from>
                <xdr:col>19</xdr:col>
                <xdr:colOff>171450</xdr:colOff>
                <xdr:row>159</xdr:row>
                <xdr:rowOff>88900</xdr:rowOff>
              </from>
              <to>
                <xdr:col>19</xdr:col>
                <xdr:colOff>450850</xdr:colOff>
                <xdr:row>159</xdr:row>
                <xdr:rowOff>298450</xdr:rowOff>
              </to>
            </anchor>
          </objectPr>
        </oleObject>
      </mc:Choice>
      <mc:Fallback>
        <oleObject progId="Packager Shell Object" dvAspect="DVASPECT_ICON" shapeId="2134" r:id="rId162"/>
      </mc:Fallback>
    </mc:AlternateContent>
    <mc:AlternateContent xmlns:mc="http://schemas.openxmlformats.org/markup-compatibility/2006">
      <mc:Choice Requires="x14">
        <oleObject progId="Packager Shell Object" dvAspect="DVASPECT_ICON" shapeId="2135" r:id="rId164">
          <objectPr defaultSize="0" autoPict="0" r:id="rId165">
            <anchor moveWithCells="1">
              <from>
                <xdr:col>19</xdr:col>
                <xdr:colOff>139700</xdr:colOff>
                <xdr:row>148</xdr:row>
                <xdr:rowOff>171450</xdr:rowOff>
              </from>
              <to>
                <xdr:col>19</xdr:col>
                <xdr:colOff>450850</xdr:colOff>
                <xdr:row>148</xdr:row>
                <xdr:rowOff>412750</xdr:rowOff>
              </to>
            </anchor>
          </objectPr>
        </oleObject>
      </mc:Choice>
      <mc:Fallback>
        <oleObject progId="Packager Shell Object" dvAspect="DVASPECT_ICON" shapeId="2135" r:id="rId164"/>
      </mc:Fallback>
    </mc:AlternateContent>
    <mc:AlternateContent xmlns:mc="http://schemas.openxmlformats.org/markup-compatibility/2006">
      <mc:Choice Requires="x14">
        <oleObject progId="Packager Shell Object" dvAspect="DVASPECT_ICON" shapeId="2136" r:id="rId166">
          <objectPr defaultSize="0" autoPict="0" r:id="rId167">
            <anchor moveWithCells="1">
              <from>
                <xdr:col>19</xdr:col>
                <xdr:colOff>165100</xdr:colOff>
                <xdr:row>149</xdr:row>
                <xdr:rowOff>228600</xdr:rowOff>
              </from>
              <to>
                <xdr:col>19</xdr:col>
                <xdr:colOff>450850</xdr:colOff>
                <xdr:row>150</xdr:row>
                <xdr:rowOff>139700</xdr:rowOff>
              </to>
            </anchor>
          </objectPr>
        </oleObject>
      </mc:Choice>
      <mc:Fallback>
        <oleObject progId="Packager Shell Object" dvAspect="DVASPECT_ICON" shapeId="2136" r:id="rId166"/>
      </mc:Fallback>
    </mc:AlternateContent>
    <mc:AlternateContent xmlns:mc="http://schemas.openxmlformats.org/markup-compatibility/2006">
      <mc:Choice Requires="x14">
        <oleObject progId="Packager Shell Object" dvAspect="DVASPECT_ICON" shapeId="2137" r:id="rId168">
          <objectPr defaultSize="0" autoPict="0" r:id="rId153">
            <anchor moveWithCells="1">
              <from>
                <xdr:col>19</xdr:col>
                <xdr:colOff>177800</xdr:colOff>
                <xdr:row>154</xdr:row>
                <xdr:rowOff>107950</xdr:rowOff>
              </from>
              <to>
                <xdr:col>19</xdr:col>
                <xdr:colOff>450850</xdr:colOff>
                <xdr:row>155</xdr:row>
                <xdr:rowOff>114300</xdr:rowOff>
              </to>
            </anchor>
          </objectPr>
        </oleObject>
      </mc:Choice>
      <mc:Fallback>
        <oleObject progId="Packager Shell Object" dvAspect="DVASPECT_ICON" shapeId="2137" r:id="rId168"/>
      </mc:Fallback>
    </mc:AlternateContent>
    <mc:AlternateContent xmlns:mc="http://schemas.openxmlformats.org/markup-compatibility/2006">
      <mc:Choice Requires="x14">
        <oleObject progId="Packager Shell Object" dvAspect="DVASPECT_ICON" shapeId="2138" r:id="rId169">
          <objectPr defaultSize="0" autoPict="0" r:id="rId170">
            <anchor moveWithCells="1">
              <from>
                <xdr:col>19</xdr:col>
                <xdr:colOff>171450</xdr:colOff>
                <xdr:row>160</xdr:row>
                <xdr:rowOff>95250</xdr:rowOff>
              </from>
              <to>
                <xdr:col>19</xdr:col>
                <xdr:colOff>450850</xdr:colOff>
                <xdr:row>160</xdr:row>
                <xdr:rowOff>304800</xdr:rowOff>
              </to>
            </anchor>
          </objectPr>
        </oleObject>
      </mc:Choice>
      <mc:Fallback>
        <oleObject progId="Packager Shell Object" dvAspect="DVASPECT_ICON" shapeId="2138" r:id="rId169"/>
      </mc:Fallback>
    </mc:AlternateContent>
    <mc:AlternateContent xmlns:mc="http://schemas.openxmlformats.org/markup-compatibility/2006">
      <mc:Choice Requires="x14">
        <oleObject progId="Packager Shell Object" dvAspect="DVASPECT_ICON" shapeId="2139" r:id="rId171">
          <objectPr defaultSize="0" autoPict="0" r:id="rId172">
            <anchor moveWithCells="1">
              <from>
                <xdr:col>19</xdr:col>
                <xdr:colOff>165100</xdr:colOff>
                <xdr:row>161</xdr:row>
                <xdr:rowOff>215900</xdr:rowOff>
              </from>
              <to>
                <xdr:col>19</xdr:col>
                <xdr:colOff>482600</xdr:colOff>
                <xdr:row>162</xdr:row>
                <xdr:rowOff>95250</xdr:rowOff>
              </to>
            </anchor>
          </objectPr>
        </oleObject>
      </mc:Choice>
      <mc:Fallback>
        <oleObject progId="Packager Shell Object" dvAspect="DVASPECT_ICON" shapeId="2139" r:id="rId171"/>
      </mc:Fallback>
    </mc:AlternateContent>
    <mc:AlternateContent xmlns:mc="http://schemas.openxmlformats.org/markup-compatibility/2006">
      <mc:Choice Requires="x14">
        <oleObject progId="Packager Shell Object" dvAspect="DVASPECT_ICON" shapeId="2140" r:id="rId173">
          <objectPr defaultSize="0" autoPict="0" r:id="rId174">
            <anchor moveWithCells="1">
              <from>
                <xdr:col>19</xdr:col>
                <xdr:colOff>158750</xdr:colOff>
                <xdr:row>163</xdr:row>
                <xdr:rowOff>165100</xdr:rowOff>
              </from>
              <to>
                <xdr:col>19</xdr:col>
                <xdr:colOff>476250</xdr:colOff>
                <xdr:row>164</xdr:row>
                <xdr:rowOff>6350</xdr:rowOff>
              </to>
            </anchor>
          </objectPr>
        </oleObject>
      </mc:Choice>
      <mc:Fallback>
        <oleObject progId="Packager Shell Object" dvAspect="DVASPECT_ICON" shapeId="2140" r:id="rId173"/>
      </mc:Fallback>
    </mc:AlternateContent>
    <mc:AlternateContent xmlns:mc="http://schemas.openxmlformats.org/markup-compatibility/2006">
      <mc:Choice Requires="x14">
        <oleObject progId="Packager Shell Object" dvAspect="DVASPECT_ICON" shapeId="2141" r:id="rId175">
          <objectPr defaultSize="0" autoPict="0" r:id="rId176">
            <anchor moveWithCells="1">
              <from>
                <xdr:col>19</xdr:col>
                <xdr:colOff>133350</xdr:colOff>
                <xdr:row>164</xdr:row>
                <xdr:rowOff>50800</xdr:rowOff>
              </from>
              <to>
                <xdr:col>19</xdr:col>
                <xdr:colOff>463550</xdr:colOff>
                <xdr:row>164</xdr:row>
                <xdr:rowOff>304800</xdr:rowOff>
              </to>
            </anchor>
          </objectPr>
        </oleObject>
      </mc:Choice>
      <mc:Fallback>
        <oleObject progId="Packager Shell Object" dvAspect="DVASPECT_ICON" shapeId="2141" r:id="rId175"/>
      </mc:Fallback>
    </mc:AlternateContent>
    <mc:AlternateContent xmlns:mc="http://schemas.openxmlformats.org/markup-compatibility/2006">
      <mc:Choice Requires="x14">
        <oleObject progId="Packager Shell Object" dvAspect="DVASPECT_ICON" shapeId="2142" r:id="rId177">
          <objectPr defaultSize="0" autoPict="0" r:id="rId178">
            <anchor moveWithCells="1">
              <from>
                <xdr:col>19</xdr:col>
                <xdr:colOff>127000</xdr:colOff>
                <xdr:row>165</xdr:row>
                <xdr:rowOff>57150</xdr:rowOff>
              </from>
              <to>
                <xdr:col>19</xdr:col>
                <xdr:colOff>476250</xdr:colOff>
                <xdr:row>165</xdr:row>
                <xdr:rowOff>336550</xdr:rowOff>
              </to>
            </anchor>
          </objectPr>
        </oleObject>
      </mc:Choice>
      <mc:Fallback>
        <oleObject progId="Packager Shell Object" dvAspect="DVASPECT_ICON" shapeId="2142" r:id="rId177"/>
      </mc:Fallback>
    </mc:AlternateContent>
    <mc:AlternateContent xmlns:mc="http://schemas.openxmlformats.org/markup-compatibility/2006">
      <mc:Choice Requires="x14">
        <oleObject progId="Packager Shell Object" dvAspect="DVASPECT_ICON" shapeId="2143" r:id="rId179">
          <objectPr defaultSize="0" autoPict="0" r:id="rId180">
            <anchor moveWithCells="1">
              <from>
                <xdr:col>19</xdr:col>
                <xdr:colOff>133350</xdr:colOff>
                <xdr:row>166</xdr:row>
                <xdr:rowOff>203200</xdr:rowOff>
              </from>
              <to>
                <xdr:col>19</xdr:col>
                <xdr:colOff>476250</xdr:colOff>
                <xdr:row>167</xdr:row>
                <xdr:rowOff>88900</xdr:rowOff>
              </to>
            </anchor>
          </objectPr>
        </oleObject>
      </mc:Choice>
      <mc:Fallback>
        <oleObject progId="Packager Shell Object" dvAspect="DVASPECT_ICON" shapeId="2143" r:id="rId179"/>
      </mc:Fallback>
    </mc:AlternateContent>
    <mc:AlternateContent xmlns:mc="http://schemas.openxmlformats.org/markup-compatibility/2006">
      <mc:Choice Requires="x14">
        <oleObject progId="Packager Shell Object" dvAspect="DVASPECT_ICON" shapeId="2144" r:id="rId181">
          <objectPr defaultSize="0" autoPict="0" r:id="rId182">
            <anchor moveWithCells="1">
              <from>
                <xdr:col>19</xdr:col>
                <xdr:colOff>165100</xdr:colOff>
                <xdr:row>169</xdr:row>
                <xdr:rowOff>69850</xdr:rowOff>
              </from>
              <to>
                <xdr:col>19</xdr:col>
                <xdr:colOff>431800</xdr:colOff>
                <xdr:row>169</xdr:row>
                <xdr:rowOff>260350</xdr:rowOff>
              </to>
            </anchor>
          </objectPr>
        </oleObject>
      </mc:Choice>
      <mc:Fallback>
        <oleObject progId="Packager Shell Object" dvAspect="DVASPECT_ICON" shapeId="2144" r:id="rId181"/>
      </mc:Fallback>
    </mc:AlternateContent>
    <mc:AlternateContent xmlns:mc="http://schemas.openxmlformats.org/markup-compatibility/2006">
      <mc:Choice Requires="x14">
        <oleObject progId="Packager Shell Object" dvAspect="DVASPECT_ICON" shapeId="2145" r:id="rId183">
          <objectPr defaultSize="0" autoPict="0" r:id="rId184">
            <anchor moveWithCells="1">
              <from>
                <xdr:col>19</xdr:col>
                <xdr:colOff>177800</xdr:colOff>
                <xdr:row>171</xdr:row>
                <xdr:rowOff>76200</xdr:rowOff>
              </from>
              <to>
                <xdr:col>19</xdr:col>
                <xdr:colOff>419100</xdr:colOff>
                <xdr:row>171</xdr:row>
                <xdr:rowOff>254000</xdr:rowOff>
              </to>
            </anchor>
          </objectPr>
        </oleObject>
      </mc:Choice>
      <mc:Fallback>
        <oleObject progId="Packager Shell Object" dvAspect="DVASPECT_ICON" shapeId="2145" r:id="rId183"/>
      </mc:Fallback>
    </mc:AlternateContent>
    <mc:AlternateContent xmlns:mc="http://schemas.openxmlformats.org/markup-compatibility/2006">
      <mc:Choice Requires="x14">
        <oleObject progId="Packager Shell Object" dvAspect="DVASPECT_ICON" shapeId="2146" r:id="rId185">
          <objectPr defaultSize="0" autoPict="0" r:id="rId186">
            <anchor moveWithCells="1">
              <from>
                <xdr:col>19</xdr:col>
                <xdr:colOff>158750</xdr:colOff>
                <xdr:row>172</xdr:row>
                <xdr:rowOff>69850</xdr:rowOff>
              </from>
              <to>
                <xdr:col>19</xdr:col>
                <xdr:colOff>438150</xdr:colOff>
                <xdr:row>172</xdr:row>
                <xdr:rowOff>279400</xdr:rowOff>
              </to>
            </anchor>
          </objectPr>
        </oleObject>
      </mc:Choice>
      <mc:Fallback>
        <oleObject progId="Packager Shell Object" dvAspect="DVASPECT_ICON" shapeId="2146" r:id="rId185"/>
      </mc:Fallback>
    </mc:AlternateContent>
    <mc:AlternateContent xmlns:mc="http://schemas.openxmlformats.org/markup-compatibility/2006">
      <mc:Choice Requires="x14">
        <oleObject progId="Packager Shell Object" dvAspect="DVASPECT_ICON" shapeId="2147" r:id="rId187">
          <objectPr defaultSize="0" autoPict="0" r:id="rId188">
            <anchor moveWithCells="1">
              <from>
                <xdr:col>19</xdr:col>
                <xdr:colOff>158750</xdr:colOff>
                <xdr:row>173</xdr:row>
                <xdr:rowOff>2241550</xdr:rowOff>
              </from>
              <to>
                <xdr:col>19</xdr:col>
                <xdr:colOff>419100</xdr:colOff>
                <xdr:row>173</xdr:row>
                <xdr:rowOff>2444750</xdr:rowOff>
              </to>
            </anchor>
          </objectPr>
        </oleObject>
      </mc:Choice>
      <mc:Fallback>
        <oleObject progId="Packager Shell Object" dvAspect="DVASPECT_ICON" shapeId="2147" r:id="rId187"/>
      </mc:Fallback>
    </mc:AlternateContent>
    <mc:AlternateContent xmlns:mc="http://schemas.openxmlformats.org/markup-compatibility/2006">
      <mc:Choice Requires="x14">
        <oleObject progId="Packager Shell Object" dvAspect="DVASPECT_ICON" shapeId="2148" r:id="rId189">
          <objectPr defaultSize="0" autoPict="0" r:id="rId190">
            <anchor moveWithCells="1">
              <from>
                <xdr:col>19</xdr:col>
                <xdr:colOff>120650</xdr:colOff>
                <xdr:row>168</xdr:row>
                <xdr:rowOff>69850</xdr:rowOff>
              </from>
              <to>
                <xdr:col>19</xdr:col>
                <xdr:colOff>431800</xdr:colOff>
                <xdr:row>168</xdr:row>
                <xdr:rowOff>298450</xdr:rowOff>
              </to>
            </anchor>
          </objectPr>
        </oleObject>
      </mc:Choice>
      <mc:Fallback>
        <oleObject progId="Packager Shell Object" dvAspect="DVASPECT_ICON" shapeId="2148" r:id="rId189"/>
      </mc:Fallback>
    </mc:AlternateContent>
    <mc:AlternateContent xmlns:mc="http://schemas.openxmlformats.org/markup-compatibility/2006">
      <mc:Choice Requires="x14">
        <oleObject progId="Packager Shell Object" dvAspect="DVASPECT_ICON" shapeId="2150" r:id="rId191">
          <objectPr defaultSize="0" autoPict="0" r:id="rId192">
            <anchor moveWithCells="1">
              <from>
                <xdr:col>19</xdr:col>
                <xdr:colOff>165100</xdr:colOff>
                <xdr:row>176</xdr:row>
                <xdr:rowOff>101600</xdr:rowOff>
              </from>
              <to>
                <xdr:col>19</xdr:col>
                <xdr:colOff>457200</xdr:colOff>
                <xdr:row>176</xdr:row>
                <xdr:rowOff>336550</xdr:rowOff>
              </to>
            </anchor>
          </objectPr>
        </oleObject>
      </mc:Choice>
      <mc:Fallback>
        <oleObject progId="Packager Shell Object" dvAspect="DVASPECT_ICON" shapeId="2150" r:id="rId191"/>
      </mc:Fallback>
    </mc:AlternateContent>
    <mc:AlternateContent xmlns:mc="http://schemas.openxmlformats.org/markup-compatibility/2006">
      <mc:Choice Requires="x14">
        <oleObject progId="Packager Shell Object" dvAspect="DVASPECT_ICON" shapeId="2151" r:id="rId193">
          <objectPr defaultSize="0" autoPict="0" r:id="rId194">
            <anchor moveWithCells="1">
              <from>
                <xdr:col>19</xdr:col>
                <xdr:colOff>133350</xdr:colOff>
                <xdr:row>174</xdr:row>
                <xdr:rowOff>114300</xdr:rowOff>
              </from>
              <to>
                <xdr:col>19</xdr:col>
                <xdr:colOff>431800</xdr:colOff>
                <xdr:row>175</xdr:row>
                <xdr:rowOff>152400</xdr:rowOff>
              </to>
            </anchor>
          </objectPr>
        </oleObject>
      </mc:Choice>
      <mc:Fallback>
        <oleObject progId="Packager Shell Object" dvAspect="DVASPECT_ICON" shapeId="2151" r:id="rId193"/>
      </mc:Fallback>
    </mc:AlternateContent>
    <mc:AlternateContent xmlns:mc="http://schemas.openxmlformats.org/markup-compatibility/2006">
      <mc:Choice Requires="x14">
        <oleObject progId="Packager Shell Object" dvAspect="DVASPECT_ICON" shapeId="2152" r:id="rId195">
          <objectPr defaultSize="0" autoPict="0" r:id="rId196">
            <anchor moveWithCells="1">
              <from>
                <xdr:col>19</xdr:col>
                <xdr:colOff>139700</xdr:colOff>
                <xdr:row>177</xdr:row>
                <xdr:rowOff>768350</xdr:rowOff>
              </from>
              <to>
                <xdr:col>19</xdr:col>
                <xdr:colOff>438150</xdr:colOff>
                <xdr:row>178</xdr:row>
                <xdr:rowOff>139700</xdr:rowOff>
              </to>
            </anchor>
          </objectPr>
        </oleObject>
      </mc:Choice>
      <mc:Fallback>
        <oleObject progId="Packager Shell Object" dvAspect="DVASPECT_ICON" shapeId="2152" r:id="rId195"/>
      </mc:Fallback>
    </mc:AlternateContent>
    <mc:AlternateContent xmlns:mc="http://schemas.openxmlformats.org/markup-compatibility/2006">
      <mc:Choice Requires="x14">
        <oleObject progId="Packager Shell Object" dvAspect="DVASPECT_ICON" shapeId="2153" r:id="rId197">
          <objectPr defaultSize="0" autoPict="0" r:id="rId198">
            <anchor moveWithCells="1">
              <from>
                <xdr:col>19</xdr:col>
                <xdr:colOff>133350</xdr:colOff>
                <xdr:row>179</xdr:row>
                <xdr:rowOff>76200</xdr:rowOff>
              </from>
              <to>
                <xdr:col>19</xdr:col>
                <xdr:colOff>463550</xdr:colOff>
                <xdr:row>179</xdr:row>
                <xdr:rowOff>330200</xdr:rowOff>
              </to>
            </anchor>
          </objectPr>
        </oleObject>
      </mc:Choice>
      <mc:Fallback>
        <oleObject progId="Packager Shell Object" dvAspect="DVASPECT_ICON" shapeId="2153" r:id="rId197"/>
      </mc:Fallback>
    </mc:AlternateContent>
    <mc:AlternateContent xmlns:mc="http://schemas.openxmlformats.org/markup-compatibility/2006">
      <mc:Choice Requires="x14">
        <oleObject progId="Packager Shell Object" dvAspect="DVASPECT_ICON" shapeId="2154" r:id="rId199">
          <objectPr defaultSize="0" autoPict="0" r:id="rId200">
            <anchor moveWithCells="1">
              <from>
                <xdr:col>19</xdr:col>
                <xdr:colOff>133350</xdr:colOff>
                <xdr:row>180</xdr:row>
                <xdr:rowOff>260350</xdr:rowOff>
              </from>
              <to>
                <xdr:col>19</xdr:col>
                <xdr:colOff>501650</xdr:colOff>
                <xdr:row>181</xdr:row>
                <xdr:rowOff>177800</xdr:rowOff>
              </to>
            </anchor>
          </objectPr>
        </oleObject>
      </mc:Choice>
      <mc:Fallback>
        <oleObject progId="Packager Shell Object" dvAspect="DVASPECT_ICON" shapeId="2154" r:id="rId199"/>
      </mc:Fallback>
    </mc:AlternateContent>
    <mc:AlternateContent xmlns:mc="http://schemas.openxmlformats.org/markup-compatibility/2006">
      <mc:Choice Requires="x14">
        <oleObject progId="Packager Shell Object" dvAspect="DVASPECT_ICON" shapeId="2155" r:id="rId201">
          <objectPr defaultSize="0" autoPict="0" r:id="rId202">
            <anchor moveWithCells="1">
              <from>
                <xdr:col>19</xdr:col>
                <xdr:colOff>152400</xdr:colOff>
                <xdr:row>182</xdr:row>
                <xdr:rowOff>209550</xdr:rowOff>
              </from>
              <to>
                <xdr:col>19</xdr:col>
                <xdr:colOff>501650</xdr:colOff>
                <xdr:row>183</xdr:row>
                <xdr:rowOff>101600</xdr:rowOff>
              </to>
            </anchor>
          </objectPr>
        </oleObject>
      </mc:Choice>
      <mc:Fallback>
        <oleObject progId="Packager Shell Object" dvAspect="DVASPECT_ICON" shapeId="2155" r:id="rId201"/>
      </mc:Fallback>
    </mc:AlternateContent>
    <mc:AlternateContent xmlns:mc="http://schemas.openxmlformats.org/markup-compatibility/2006">
      <mc:Choice Requires="x14">
        <oleObject progId="Packager Shell Object" dvAspect="DVASPECT_ICON" shapeId="2156" r:id="rId203">
          <objectPr defaultSize="0" autoPict="0" r:id="rId204">
            <anchor moveWithCells="1">
              <from>
                <xdr:col>19</xdr:col>
                <xdr:colOff>133350</xdr:colOff>
                <xdr:row>184</xdr:row>
                <xdr:rowOff>254000</xdr:rowOff>
              </from>
              <to>
                <xdr:col>19</xdr:col>
                <xdr:colOff>450850</xdr:colOff>
                <xdr:row>185</xdr:row>
                <xdr:rowOff>127000</xdr:rowOff>
              </to>
            </anchor>
          </objectPr>
        </oleObject>
      </mc:Choice>
      <mc:Fallback>
        <oleObject progId="Packager Shell Object" dvAspect="DVASPECT_ICON" shapeId="2156" r:id="rId203"/>
      </mc:Fallback>
    </mc:AlternateContent>
    <mc:AlternateContent xmlns:mc="http://schemas.openxmlformats.org/markup-compatibility/2006">
      <mc:Choice Requires="x14">
        <oleObject progId="Packager Shell Object" dvAspect="DVASPECT_ICON" shapeId="2158" r:id="rId205">
          <objectPr defaultSize="0" autoPict="0" r:id="rId206">
            <anchor moveWithCells="1">
              <from>
                <xdr:col>19</xdr:col>
                <xdr:colOff>120650</xdr:colOff>
                <xdr:row>93</xdr:row>
                <xdr:rowOff>342900</xdr:rowOff>
              </from>
              <to>
                <xdr:col>19</xdr:col>
                <xdr:colOff>387350</xdr:colOff>
                <xdr:row>95</xdr:row>
                <xdr:rowOff>0</xdr:rowOff>
              </to>
            </anchor>
          </objectPr>
        </oleObject>
      </mc:Choice>
      <mc:Fallback>
        <oleObject progId="Packager Shell Object" dvAspect="DVASPECT_ICON" shapeId="2158" r:id="rId205"/>
      </mc:Fallback>
    </mc:AlternateContent>
    <mc:AlternateContent xmlns:mc="http://schemas.openxmlformats.org/markup-compatibility/2006">
      <mc:Choice Requires="x14">
        <oleObject progId="Packager Shell Object" dvAspect="DVASPECT_ICON" shapeId="2159" r:id="rId207">
          <objectPr defaultSize="0" autoPict="0" r:id="rId208">
            <anchor moveWithCells="1">
              <from>
                <xdr:col>19</xdr:col>
                <xdr:colOff>69850</xdr:colOff>
                <xdr:row>105</xdr:row>
                <xdr:rowOff>457200</xdr:rowOff>
              </from>
              <to>
                <xdr:col>19</xdr:col>
                <xdr:colOff>374650</xdr:colOff>
                <xdr:row>106</xdr:row>
                <xdr:rowOff>133350</xdr:rowOff>
              </to>
            </anchor>
          </objectPr>
        </oleObject>
      </mc:Choice>
      <mc:Fallback>
        <oleObject progId="Packager Shell Object" dvAspect="DVASPECT_ICON" shapeId="2159" r:id="rId207"/>
      </mc:Fallback>
    </mc:AlternateContent>
    <mc:AlternateContent xmlns:mc="http://schemas.openxmlformats.org/markup-compatibility/2006">
      <mc:Choice Requires="x14">
        <oleObject progId="Packager Shell Object" dvAspect="DVASPECT_ICON" shapeId="2160" r:id="rId209">
          <objectPr defaultSize="0" autoPict="0" r:id="rId210">
            <anchor moveWithCells="1">
              <from>
                <xdr:col>19</xdr:col>
                <xdr:colOff>127000</xdr:colOff>
                <xdr:row>125</xdr:row>
                <xdr:rowOff>88900</xdr:rowOff>
              </from>
              <to>
                <xdr:col>19</xdr:col>
                <xdr:colOff>419100</xdr:colOff>
                <xdr:row>126</xdr:row>
                <xdr:rowOff>120650</xdr:rowOff>
              </to>
            </anchor>
          </objectPr>
        </oleObject>
      </mc:Choice>
      <mc:Fallback>
        <oleObject progId="Packager Shell Object" dvAspect="DVASPECT_ICON" shapeId="2160" r:id="rId209"/>
      </mc:Fallback>
    </mc:AlternateContent>
    <mc:AlternateContent xmlns:mc="http://schemas.openxmlformats.org/markup-compatibility/2006">
      <mc:Choice Requires="x14">
        <oleObject progId="Packager Shell Object" dvAspect="DVASPECT_ICON" shapeId="2168" r:id="rId211">
          <objectPr defaultSize="0" autoPict="0" r:id="rId212">
            <anchor moveWithCells="1">
              <from>
                <xdr:col>19</xdr:col>
                <xdr:colOff>139700</xdr:colOff>
                <xdr:row>189</xdr:row>
                <xdr:rowOff>82550</xdr:rowOff>
              </from>
              <to>
                <xdr:col>19</xdr:col>
                <xdr:colOff>450850</xdr:colOff>
                <xdr:row>189</xdr:row>
                <xdr:rowOff>311150</xdr:rowOff>
              </to>
            </anchor>
          </objectPr>
        </oleObject>
      </mc:Choice>
      <mc:Fallback>
        <oleObject progId="Packager Shell Object" dvAspect="DVASPECT_ICON" shapeId="2168" r:id="rId211"/>
      </mc:Fallback>
    </mc:AlternateContent>
    <mc:AlternateContent xmlns:mc="http://schemas.openxmlformats.org/markup-compatibility/2006">
      <mc:Choice Requires="x14">
        <oleObject progId="Packager Shell Object" dvAspect="DVASPECT_ICON" shapeId="2170" r:id="rId213">
          <objectPr defaultSize="0" autoPict="0" r:id="rId214">
            <anchor moveWithCells="1">
              <from>
                <xdr:col>19</xdr:col>
                <xdr:colOff>127000</xdr:colOff>
                <xdr:row>188</xdr:row>
                <xdr:rowOff>38100</xdr:rowOff>
              </from>
              <to>
                <xdr:col>19</xdr:col>
                <xdr:colOff>463550</xdr:colOff>
                <xdr:row>188</xdr:row>
                <xdr:rowOff>285750</xdr:rowOff>
              </to>
            </anchor>
          </objectPr>
        </oleObject>
      </mc:Choice>
      <mc:Fallback>
        <oleObject progId="Packager Shell Object" dvAspect="DVASPECT_ICON" shapeId="2170" r:id="rId213"/>
      </mc:Fallback>
    </mc:AlternateContent>
    <mc:AlternateContent xmlns:mc="http://schemas.openxmlformats.org/markup-compatibility/2006">
      <mc:Choice Requires="x14">
        <oleObject progId="Packager Shell Object" dvAspect="DVASPECT_ICON" shapeId="2171" r:id="rId215">
          <objectPr defaultSize="0" autoPict="0" r:id="rId216">
            <anchor moveWithCells="1">
              <from>
                <xdr:col>19</xdr:col>
                <xdr:colOff>120650</xdr:colOff>
                <xdr:row>190</xdr:row>
                <xdr:rowOff>203200</xdr:rowOff>
              </from>
              <to>
                <xdr:col>19</xdr:col>
                <xdr:colOff>457200</xdr:colOff>
                <xdr:row>191</xdr:row>
                <xdr:rowOff>88900</xdr:rowOff>
              </to>
            </anchor>
          </objectPr>
        </oleObject>
      </mc:Choice>
      <mc:Fallback>
        <oleObject progId="Packager Shell Object" dvAspect="DVASPECT_ICON" shapeId="2171" r:id="rId215"/>
      </mc:Fallback>
    </mc:AlternateContent>
    <mc:AlternateContent xmlns:mc="http://schemas.openxmlformats.org/markup-compatibility/2006">
      <mc:Choice Requires="x14">
        <oleObject progId="Packager Shell Object" dvAspect="DVASPECT_ICON" shapeId="2172" r:id="rId217">
          <objectPr defaultSize="0" autoPict="0" r:id="rId218">
            <anchor moveWithCells="1">
              <from>
                <xdr:col>19</xdr:col>
                <xdr:colOff>152400</xdr:colOff>
                <xdr:row>192</xdr:row>
                <xdr:rowOff>44450</xdr:rowOff>
              </from>
              <to>
                <xdr:col>19</xdr:col>
                <xdr:colOff>463550</xdr:colOff>
                <xdr:row>192</xdr:row>
                <xdr:rowOff>158750</xdr:rowOff>
              </to>
            </anchor>
          </objectPr>
        </oleObject>
      </mc:Choice>
      <mc:Fallback>
        <oleObject progId="Packager Shell Object" dvAspect="DVASPECT_ICON" shapeId="2172" r:id="rId217"/>
      </mc:Fallback>
    </mc:AlternateContent>
    <mc:AlternateContent xmlns:mc="http://schemas.openxmlformats.org/markup-compatibility/2006">
      <mc:Choice Requires="x14">
        <oleObject progId="Packager Shell Object" dvAspect="DVASPECT_ICON" shapeId="2173" r:id="rId219">
          <objectPr defaultSize="0" autoPict="0" r:id="rId220">
            <anchor moveWithCells="1">
              <from>
                <xdr:col>19</xdr:col>
                <xdr:colOff>139700</xdr:colOff>
                <xdr:row>187</xdr:row>
                <xdr:rowOff>165100</xdr:rowOff>
              </from>
              <to>
                <xdr:col>19</xdr:col>
                <xdr:colOff>450850</xdr:colOff>
                <xdr:row>187</xdr:row>
                <xdr:rowOff>387350</xdr:rowOff>
              </to>
            </anchor>
          </objectPr>
        </oleObject>
      </mc:Choice>
      <mc:Fallback>
        <oleObject progId="Packager Shell Object" dvAspect="DVASPECT_ICON" shapeId="2173" r:id="rId219"/>
      </mc:Fallback>
    </mc:AlternateContent>
    <mc:AlternateContent xmlns:mc="http://schemas.openxmlformats.org/markup-compatibility/2006">
      <mc:Choice Requires="x14">
        <oleObject progId="Packager Shell Object" dvAspect="DVASPECT_ICON" shapeId="2174" r:id="rId221">
          <objectPr defaultSize="0" autoPict="0" r:id="rId222">
            <anchor moveWithCells="1">
              <from>
                <xdr:col>19</xdr:col>
                <xdr:colOff>158750</xdr:colOff>
                <xdr:row>193</xdr:row>
                <xdr:rowOff>222250</xdr:rowOff>
              </from>
              <to>
                <xdr:col>19</xdr:col>
                <xdr:colOff>457200</xdr:colOff>
                <xdr:row>195</xdr:row>
                <xdr:rowOff>203200</xdr:rowOff>
              </to>
            </anchor>
          </objectPr>
        </oleObject>
      </mc:Choice>
      <mc:Fallback>
        <oleObject progId="Packager Shell Object" dvAspect="DVASPECT_ICON" shapeId="2174" r:id="rId221"/>
      </mc:Fallback>
    </mc:AlternateContent>
    <mc:AlternateContent xmlns:mc="http://schemas.openxmlformats.org/markup-compatibility/2006">
      <mc:Choice Requires="x14">
        <oleObject progId="Packager Shell Object" dvAspect="DVASPECT_ICON" shapeId="2175" r:id="rId223">
          <objectPr defaultSize="0" autoPict="0" r:id="rId224">
            <anchor moveWithCells="1">
              <from>
                <xdr:col>19</xdr:col>
                <xdr:colOff>127000</xdr:colOff>
                <xdr:row>196</xdr:row>
                <xdr:rowOff>38100</xdr:rowOff>
              </from>
              <to>
                <xdr:col>19</xdr:col>
                <xdr:colOff>469900</xdr:colOff>
                <xdr:row>196</xdr:row>
                <xdr:rowOff>292100</xdr:rowOff>
              </to>
            </anchor>
          </objectPr>
        </oleObject>
      </mc:Choice>
      <mc:Fallback>
        <oleObject progId="Packager Shell Object" dvAspect="DVASPECT_ICON" shapeId="2175" r:id="rId223"/>
      </mc:Fallback>
    </mc:AlternateContent>
    <mc:AlternateContent xmlns:mc="http://schemas.openxmlformats.org/markup-compatibility/2006">
      <mc:Choice Requires="x14">
        <oleObject progId="Packager Shell Object" dvAspect="DVASPECT_ICON" shapeId="2176" r:id="rId225">
          <objectPr defaultSize="0" autoPict="0" r:id="rId224">
            <anchor moveWithCells="1">
              <from>
                <xdr:col>19</xdr:col>
                <xdr:colOff>133350</xdr:colOff>
                <xdr:row>197</xdr:row>
                <xdr:rowOff>57150</xdr:rowOff>
              </from>
              <to>
                <xdr:col>19</xdr:col>
                <xdr:colOff>476250</xdr:colOff>
                <xdr:row>197</xdr:row>
                <xdr:rowOff>311150</xdr:rowOff>
              </to>
            </anchor>
          </objectPr>
        </oleObject>
      </mc:Choice>
      <mc:Fallback>
        <oleObject progId="Packager Shell Object" dvAspect="DVASPECT_ICON" shapeId="2176" r:id="rId225"/>
      </mc:Fallback>
    </mc:AlternateContent>
    <mc:AlternateContent xmlns:mc="http://schemas.openxmlformats.org/markup-compatibility/2006">
      <mc:Choice Requires="x14">
        <oleObject progId="Packager Shell Object" dvAspect="DVASPECT_ICON" shapeId="2177" r:id="rId226">
          <objectPr defaultSize="0" autoPict="0" r:id="rId227">
            <anchor moveWithCells="1">
              <from>
                <xdr:col>19</xdr:col>
                <xdr:colOff>139700</xdr:colOff>
                <xdr:row>198</xdr:row>
                <xdr:rowOff>254000</xdr:rowOff>
              </from>
              <to>
                <xdr:col>19</xdr:col>
                <xdr:colOff>450850</xdr:colOff>
                <xdr:row>199</xdr:row>
                <xdr:rowOff>476250</xdr:rowOff>
              </to>
            </anchor>
          </objectPr>
        </oleObject>
      </mc:Choice>
      <mc:Fallback>
        <oleObject progId="Packager Shell Object" dvAspect="DVASPECT_ICON" shapeId="2177" r:id="rId226"/>
      </mc:Fallback>
    </mc:AlternateContent>
    <mc:AlternateContent xmlns:mc="http://schemas.openxmlformats.org/markup-compatibility/2006">
      <mc:Choice Requires="x14">
        <oleObject progId="Packager Shell Object" dvAspect="DVASPECT_ICON" shapeId="2179" r:id="rId228">
          <objectPr defaultSize="0" autoPict="0" r:id="rId229">
            <anchor moveWithCells="1">
              <from>
                <xdr:col>19</xdr:col>
                <xdr:colOff>114300</xdr:colOff>
                <xdr:row>200</xdr:row>
                <xdr:rowOff>127000</xdr:rowOff>
              </from>
              <to>
                <xdr:col>19</xdr:col>
                <xdr:colOff>457200</xdr:colOff>
                <xdr:row>200</xdr:row>
                <xdr:rowOff>381000</xdr:rowOff>
              </to>
            </anchor>
          </objectPr>
        </oleObject>
      </mc:Choice>
      <mc:Fallback>
        <oleObject progId="Packager Shell Object" dvAspect="DVASPECT_ICON" shapeId="2179" r:id="rId228"/>
      </mc:Fallback>
    </mc:AlternateContent>
    <mc:AlternateContent xmlns:mc="http://schemas.openxmlformats.org/markup-compatibility/2006">
      <mc:Choice Requires="x14">
        <oleObject progId="Packager Shell Object" dvAspect="DVASPECT_ICON" shapeId="2180" r:id="rId230">
          <objectPr defaultSize="0" autoPict="0" r:id="rId231">
            <anchor moveWithCells="1">
              <from>
                <xdr:col>19</xdr:col>
                <xdr:colOff>196850</xdr:colOff>
                <xdr:row>201</xdr:row>
                <xdr:rowOff>203200</xdr:rowOff>
              </from>
              <to>
                <xdr:col>19</xdr:col>
                <xdr:colOff>476250</xdr:colOff>
                <xdr:row>204</xdr:row>
                <xdr:rowOff>285750</xdr:rowOff>
              </to>
            </anchor>
          </objectPr>
        </oleObject>
      </mc:Choice>
      <mc:Fallback>
        <oleObject progId="Packager Shell Object" dvAspect="DVASPECT_ICON" shapeId="2180" r:id="rId230"/>
      </mc:Fallback>
    </mc:AlternateContent>
    <mc:AlternateContent xmlns:mc="http://schemas.openxmlformats.org/markup-compatibility/2006">
      <mc:Choice Requires="x14">
        <oleObject progId="Packager Shell Object" dvAspect="DVASPECT_ICON" shapeId="2181" r:id="rId232">
          <objectPr defaultSize="0" autoPict="0" r:id="rId233">
            <anchor moveWithCells="1">
              <from>
                <xdr:col>19</xdr:col>
                <xdr:colOff>158750</xdr:colOff>
                <xdr:row>205</xdr:row>
                <xdr:rowOff>215900</xdr:rowOff>
              </from>
              <to>
                <xdr:col>19</xdr:col>
                <xdr:colOff>476250</xdr:colOff>
                <xdr:row>207</xdr:row>
                <xdr:rowOff>812800</xdr:rowOff>
              </to>
            </anchor>
          </objectPr>
        </oleObject>
      </mc:Choice>
      <mc:Fallback>
        <oleObject progId="Packager Shell Object" dvAspect="DVASPECT_ICON" shapeId="2181" r:id="rId232"/>
      </mc:Fallback>
    </mc:AlternateContent>
    <mc:AlternateContent xmlns:mc="http://schemas.openxmlformats.org/markup-compatibility/2006">
      <mc:Choice Requires="x14">
        <oleObject progId="Packager Shell Object" dvAspect="DVASPECT_ICON" shapeId="2182" r:id="rId234">
          <objectPr defaultSize="0" autoPict="0" r:id="rId235">
            <anchor moveWithCells="1">
              <from>
                <xdr:col>19</xdr:col>
                <xdr:colOff>177800</xdr:colOff>
                <xdr:row>209</xdr:row>
                <xdr:rowOff>184150</xdr:rowOff>
              </from>
              <to>
                <xdr:col>19</xdr:col>
                <xdr:colOff>425450</xdr:colOff>
                <xdr:row>210</xdr:row>
                <xdr:rowOff>266700</xdr:rowOff>
              </to>
            </anchor>
          </objectPr>
        </oleObject>
      </mc:Choice>
      <mc:Fallback>
        <oleObject progId="Packager Shell Object" dvAspect="DVASPECT_ICON" shapeId="2182" r:id="rId234"/>
      </mc:Fallback>
    </mc:AlternateContent>
    <mc:AlternateContent xmlns:mc="http://schemas.openxmlformats.org/markup-compatibility/2006">
      <mc:Choice Requires="x14">
        <oleObject progId="Packager Shell Object" dvAspect="DVASPECT_ICON" shapeId="2183" r:id="rId236">
          <objectPr defaultSize="0" autoPict="0" r:id="rId237">
            <anchor moveWithCells="1">
              <from>
                <xdr:col>19</xdr:col>
                <xdr:colOff>133350</xdr:colOff>
                <xdr:row>208</xdr:row>
                <xdr:rowOff>171450</xdr:rowOff>
              </from>
              <to>
                <xdr:col>19</xdr:col>
                <xdr:colOff>457200</xdr:colOff>
                <xdr:row>208</xdr:row>
                <xdr:rowOff>412750</xdr:rowOff>
              </to>
            </anchor>
          </objectPr>
        </oleObject>
      </mc:Choice>
      <mc:Fallback>
        <oleObject progId="Packager Shell Object" dvAspect="DVASPECT_ICON" shapeId="2183" r:id="rId236"/>
      </mc:Fallback>
    </mc:AlternateContent>
    <mc:AlternateContent xmlns:mc="http://schemas.openxmlformats.org/markup-compatibility/2006">
      <mc:Choice Requires="x14">
        <oleObject progId="Packager Shell Object" dvAspect="DVASPECT_ICON" shapeId="2185" r:id="rId238">
          <objectPr defaultSize="0" autoPict="0" r:id="rId239">
            <anchor moveWithCells="1">
              <from>
                <xdr:col>19</xdr:col>
                <xdr:colOff>171450</xdr:colOff>
                <xdr:row>211</xdr:row>
                <xdr:rowOff>120650</xdr:rowOff>
              </from>
              <to>
                <xdr:col>19</xdr:col>
                <xdr:colOff>431800</xdr:colOff>
                <xdr:row>213</xdr:row>
                <xdr:rowOff>260350</xdr:rowOff>
              </to>
            </anchor>
          </objectPr>
        </oleObject>
      </mc:Choice>
      <mc:Fallback>
        <oleObject progId="Packager Shell Object" dvAspect="DVASPECT_ICON" shapeId="2185" r:id="rId238"/>
      </mc:Fallback>
    </mc:AlternateContent>
    <mc:AlternateContent xmlns:mc="http://schemas.openxmlformats.org/markup-compatibility/2006">
      <mc:Choice Requires="x14">
        <oleObject progId="Packager Shell Object" dvAspect="DVASPECT_ICON" shapeId="2187" r:id="rId240">
          <objectPr defaultSize="0" autoPict="0" r:id="rId241">
            <anchor moveWithCells="1">
              <from>
                <xdr:col>19</xdr:col>
                <xdr:colOff>171450</xdr:colOff>
                <xdr:row>214</xdr:row>
                <xdr:rowOff>1339850</xdr:rowOff>
              </from>
              <to>
                <xdr:col>19</xdr:col>
                <xdr:colOff>450850</xdr:colOff>
                <xdr:row>217</xdr:row>
                <xdr:rowOff>914400</xdr:rowOff>
              </to>
            </anchor>
          </objectPr>
        </oleObject>
      </mc:Choice>
      <mc:Fallback>
        <oleObject progId="Packager Shell Object" dvAspect="DVASPECT_ICON" shapeId="2187" r:id="rId240"/>
      </mc:Fallback>
    </mc:AlternateContent>
    <mc:AlternateContent xmlns:mc="http://schemas.openxmlformats.org/markup-compatibility/2006">
      <mc:Choice Requires="x14">
        <oleObject progId="Packager Shell Object" dvAspect="DVASPECT_ICON" shapeId="2188" r:id="rId242">
          <objectPr defaultSize="0" autoPict="0" r:id="rId243">
            <anchor moveWithCells="1">
              <from>
                <xdr:col>19</xdr:col>
                <xdr:colOff>158750</xdr:colOff>
                <xdr:row>218</xdr:row>
                <xdr:rowOff>158750</xdr:rowOff>
              </from>
              <to>
                <xdr:col>19</xdr:col>
                <xdr:colOff>482600</xdr:colOff>
                <xdr:row>218</xdr:row>
                <xdr:rowOff>387350</xdr:rowOff>
              </to>
            </anchor>
          </objectPr>
        </oleObject>
      </mc:Choice>
      <mc:Fallback>
        <oleObject progId="Packager Shell Object" dvAspect="DVASPECT_ICON" shapeId="2188" r:id="rId242"/>
      </mc:Fallback>
    </mc:AlternateContent>
    <mc:AlternateContent xmlns:mc="http://schemas.openxmlformats.org/markup-compatibility/2006">
      <mc:Choice Requires="x14">
        <oleObject progId="Packager Shell Object" dvAspect="DVASPECT_ICON" shapeId="2189" r:id="rId244">
          <objectPr defaultSize="0" autoPict="0" r:id="rId245">
            <anchor moveWithCells="1">
              <from>
                <xdr:col>19</xdr:col>
                <xdr:colOff>171450</xdr:colOff>
                <xdr:row>219</xdr:row>
                <xdr:rowOff>584200</xdr:rowOff>
              </from>
              <to>
                <xdr:col>19</xdr:col>
                <xdr:colOff>431800</xdr:colOff>
                <xdr:row>223</xdr:row>
                <xdr:rowOff>196850</xdr:rowOff>
              </to>
            </anchor>
          </objectPr>
        </oleObject>
      </mc:Choice>
      <mc:Fallback>
        <oleObject progId="Packager Shell Object" dvAspect="DVASPECT_ICON" shapeId="2189" r:id="rId244"/>
      </mc:Fallback>
    </mc:AlternateContent>
    <mc:AlternateContent xmlns:mc="http://schemas.openxmlformats.org/markup-compatibility/2006">
      <mc:Choice Requires="x14">
        <oleObject progId="Packager Shell Object" dvAspect="DVASPECT_ICON" shapeId="2190" r:id="rId246">
          <objectPr defaultSize="0" autoPict="0" r:id="rId247">
            <anchor moveWithCells="1">
              <from>
                <xdr:col>19</xdr:col>
                <xdr:colOff>101600</xdr:colOff>
                <xdr:row>224</xdr:row>
                <xdr:rowOff>203200</xdr:rowOff>
              </from>
              <to>
                <xdr:col>19</xdr:col>
                <xdr:colOff>482600</xdr:colOff>
                <xdr:row>224</xdr:row>
                <xdr:rowOff>476250</xdr:rowOff>
              </to>
            </anchor>
          </objectPr>
        </oleObject>
      </mc:Choice>
      <mc:Fallback>
        <oleObject progId="Packager Shell Object" dvAspect="DVASPECT_ICON" shapeId="2190" r:id="rId246"/>
      </mc:Fallback>
    </mc:AlternateContent>
    <mc:AlternateContent xmlns:mc="http://schemas.openxmlformats.org/markup-compatibility/2006">
      <mc:Choice Requires="x14">
        <oleObject progId="Packager Shell Object" dvAspect="DVASPECT_ICON" shapeId="2191" r:id="rId248">
          <objectPr defaultSize="0" autoPict="0" r:id="rId249">
            <anchor moveWithCells="1">
              <from>
                <xdr:col>19</xdr:col>
                <xdr:colOff>114300</xdr:colOff>
                <xdr:row>226</xdr:row>
                <xdr:rowOff>241300</xdr:rowOff>
              </from>
              <to>
                <xdr:col>19</xdr:col>
                <xdr:colOff>469900</xdr:colOff>
                <xdr:row>226</xdr:row>
                <xdr:rowOff>508000</xdr:rowOff>
              </to>
            </anchor>
          </objectPr>
        </oleObject>
      </mc:Choice>
      <mc:Fallback>
        <oleObject progId="Packager Shell Object" dvAspect="DVASPECT_ICON" shapeId="2191" r:id="rId248"/>
      </mc:Fallback>
    </mc:AlternateContent>
    <mc:AlternateContent xmlns:mc="http://schemas.openxmlformats.org/markup-compatibility/2006">
      <mc:Choice Requires="x14">
        <oleObject progId="Packager Shell Object" dvAspect="DVASPECT_ICON" shapeId="2192" r:id="rId250">
          <objectPr defaultSize="0" autoPict="0" r:id="rId251">
            <anchor moveWithCells="1">
              <from>
                <xdr:col>19</xdr:col>
                <xdr:colOff>165100</xdr:colOff>
                <xdr:row>225</xdr:row>
                <xdr:rowOff>736600</xdr:rowOff>
              </from>
              <to>
                <xdr:col>19</xdr:col>
                <xdr:colOff>431800</xdr:colOff>
                <xdr:row>225</xdr:row>
                <xdr:rowOff>1060450</xdr:rowOff>
              </to>
            </anchor>
          </objectPr>
        </oleObject>
      </mc:Choice>
      <mc:Fallback>
        <oleObject progId="Packager Shell Object" dvAspect="DVASPECT_ICON" shapeId="2192" r:id="rId250"/>
      </mc:Fallback>
    </mc:AlternateContent>
    <mc:AlternateContent xmlns:mc="http://schemas.openxmlformats.org/markup-compatibility/2006">
      <mc:Choice Requires="x14">
        <oleObject progId="Packager Shell Object" dvAspect="DVASPECT_ICON" shapeId="2194" r:id="rId252">
          <objectPr defaultSize="0" autoPict="0" r:id="rId253">
            <anchor moveWithCells="1">
              <from>
                <xdr:col>19</xdr:col>
                <xdr:colOff>133350</xdr:colOff>
                <xdr:row>227</xdr:row>
                <xdr:rowOff>69850</xdr:rowOff>
              </from>
              <to>
                <xdr:col>19</xdr:col>
                <xdr:colOff>463550</xdr:colOff>
                <xdr:row>227</xdr:row>
                <xdr:rowOff>298450</xdr:rowOff>
              </to>
            </anchor>
          </objectPr>
        </oleObject>
      </mc:Choice>
      <mc:Fallback>
        <oleObject progId="Packager Shell Object" dvAspect="DVASPECT_ICON" shapeId="2194" r:id="rId252"/>
      </mc:Fallback>
    </mc:AlternateContent>
    <mc:AlternateContent xmlns:mc="http://schemas.openxmlformats.org/markup-compatibility/2006">
      <mc:Choice Requires="x14">
        <oleObject progId="Packager Shell Object" dvAspect="DVASPECT_ICON" shapeId="2195" r:id="rId254">
          <objectPr defaultSize="0" autoPict="0" r:id="rId255">
            <anchor moveWithCells="1">
              <from>
                <xdr:col>19</xdr:col>
                <xdr:colOff>171450</xdr:colOff>
                <xdr:row>228</xdr:row>
                <xdr:rowOff>184150</xdr:rowOff>
              </from>
              <to>
                <xdr:col>19</xdr:col>
                <xdr:colOff>457200</xdr:colOff>
                <xdr:row>230</xdr:row>
                <xdr:rowOff>247650</xdr:rowOff>
              </to>
            </anchor>
          </objectPr>
        </oleObject>
      </mc:Choice>
      <mc:Fallback>
        <oleObject progId="Packager Shell Object" dvAspect="DVASPECT_ICON" shapeId="2195" r:id="rId254"/>
      </mc:Fallback>
    </mc:AlternateContent>
    <mc:AlternateContent xmlns:mc="http://schemas.openxmlformats.org/markup-compatibility/2006">
      <mc:Choice Requires="x14">
        <oleObject progId="Packager Shell Object" dvAspect="DVASPECT_ICON" shapeId="2196" r:id="rId256">
          <objectPr defaultSize="0" autoPict="0" r:id="rId257">
            <anchor moveWithCells="1">
              <from>
                <xdr:col>19</xdr:col>
                <xdr:colOff>209550</xdr:colOff>
                <xdr:row>231</xdr:row>
                <xdr:rowOff>209550</xdr:rowOff>
              </from>
              <to>
                <xdr:col>19</xdr:col>
                <xdr:colOff>393700</xdr:colOff>
                <xdr:row>234</xdr:row>
                <xdr:rowOff>158750</xdr:rowOff>
              </to>
            </anchor>
          </objectPr>
        </oleObject>
      </mc:Choice>
      <mc:Fallback>
        <oleObject progId="Packager Shell Object" dvAspect="DVASPECT_ICON" shapeId="2196" r:id="rId256"/>
      </mc:Fallback>
    </mc:AlternateContent>
    <mc:AlternateContent xmlns:mc="http://schemas.openxmlformats.org/markup-compatibility/2006">
      <mc:Choice Requires="x14">
        <oleObject progId="Packager Shell Object" dvAspect="DVASPECT_ICON" shapeId="2197" r:id="rId258">
          <objectPr defaultSize="0" autoPict="0" r:id="rId259">
            <anchor moveWithCells="1">
              <from>
                <xdr:col>19</xdr:col>
                <xdr:colOff>165100</xdr:colOff>
                <xdr:row>235</xdr:row>
                <xdr:rowOff>139700</xdr:rowOff>
              </from>
              <to>
                <xdr:col>19</xdr:col>
                <xdr:colOff>463550</xdr:colOff>
                <xdr:row>235</xdr:row>
                <xdr:rowOff>425450</xdr:rowOff>
              </to>
            </anchor>
          </objectPr>
        </oleObject>
      </mc:Choice>
      <mc:Fallback>
        <oleObject progId="Packager Shell Object" dvAspect="DVASPECT_ICON" shapeId="2197" r:id="rId258"/>
      </mc:Fallback>
    </mc:AlternateContent>
    <mc:AlternateContent xmlns:mc="http://schemas.openxmlformats.org/markup-compatibility/2006">
      <mc:Choice Requires="x14">
        <oleObject progId="Packager Shell Object" dvAspect="DVASPECT_ICON" shapeId="2198" r:id="rId260">
          <objectPr defaultSize="0" autoPict="0" r:id="rId261">
            <anchor moveWithCells="1">
              <from>
                <xdr:col>19</xdr:col>
                <xdr:colOff>120650</xdr:colOff>
                <xdr:row>236</xdr:row>
                <xdr:rowOff>552450</xdr:rowOff>
              </from>
              <to>
                <xdr:col>19</xdr:col>
                <xdr:colOff>431800</xdr:colOff>
                <xdr:row>237</xdr:row>
                <xdr:rowOff>133350</xdr:rowOff>
              </to>
            </anchor>
          </objectPr>
        </oleObject>
      </mc:Choice>
      <mc:Fallback>
        <oleObject progId="Packager Shell Object" dvAspect="DVASPECT_ICON" shapeId="2198" r:id="rId260"/>
      </mc:Fallback>
    </mc:AlternateContent>
    <mc:AlternateContent xmlns:mc="http://schemas.openxmlformats.org/markup-compatibility/2006">
      <mc:Choice Requires="x14">
        <oleObject progId="Packager Shell Object" dvAspect="DVASPECT_ICON" shapeId="2199" r:id="rId262">
          <objectPr defaultSize="0" autoPict="0" r:id="rId263">
            <anchor moveWithCells="1">
              <from>
                <xdr:col>19</xdr:col>
                <xdr:colOff>177800</xdr:colOff>
                <xdr:row>238</xdr:row>
                <xdr:rowOff>406400</xdr:rowOff>
              </from>
              <to>
                <xdr:col>19</xdr:col>
                <xdr:colOff>469900</xdr:colOff>
                <xdr:row>238</xdr:row>
                <xdr:rowOff>679450</xdr:rowOff>
              </to>
            </anchor>
          </objectPr>
        </oleObject>
      </mc:Choice>
      <mc:Fallback>
        <oleObject progId="Packager Shell Object" dvAspect="DVASPECT_ICON" shapeId="2199" r:id="rId262"/>
      </mc:Fallback>
    </mc:AlternateContent>
    <mc:AlternateContent xmlns:mc="http://schemas.openxmlformats.org/markup-compatibility/2006">
      <mc:Choice Requires="x14">
        <oleObject progId="Packager Shell Object" dvAspect="DVASPECT_ICON" shapeId="2200" r:id="rId264">
          <objectPr defaultSize="0" autoPict="0" r:id="rId265">
            <anchor moveWithCells="1">
              <from>
                <xdr:col>19</xdr:col>
                <xdr:colOff>165100</xdr:colOff>
                <xdr:row>239</xdr:row>
                <xdr:rowOff>768350</xdr:rowOff>
              </from>
              <to>
                <xdr:col>19</xdr:col>
                <xdr:colOff>463550</xdr:colOff>
                <xdr:row>240</xdr:row>
                <xdr:rowOff>171450</xdr:rowOff>
              </to>
            </anchor>
          </objectPr>
        </oleObject>
      </mc:Choice>
      <mc:Fallback>
        <oleObject progId="Packager Shell Object" dvAspect="DVASPECT_ICON" shapeId="2200" r:id="rId26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02B36-D67B-4DD9-923A-FB370AD18F6B}">
  <dimension ref="A3:G395"/>
  <sheetViews>
    <sheetView topLeftCell="A372" workbookViewId="0">
      <selection activeCell="G396" sqref="G396"/>
    </sheetView>
  </sheetViews>
  <sheetFormatPr defaultRowHeight="14.5" x14ac:dyDescent="0.35"/>
  <cols>
    <col min="1" max="3" width="12.7265625" customWidth="1"/>
    <col min="4" max="4" width="43.1796875" bestFit="1" customWidth="1"/>
    <col min="5" max="5" width="15.08984375" bestFit="1" customWidth="1"/>
    <col min="6" max="6" width="15.26953125" bestFit="1" customWidth="1"/>
    <col min="7" max="8" width="18.6328125" bestFit="1" customWidth="1"/>
    <col min="9" max="9" width="12.7265625" customWidth="1"/>
    <col min="10" max="10" width="12.54296875" bestFit="1" customWidth="1"/>
  </cols>
  <sheetData>
    <row r="3" spans="1:7" x14ac:dyDescent="0.35">
      <c r="E3" s="33" t="s">
        <v>190</v>
      </c>
    </row>
    <row r="4" spans="1:7" x14ac:dyDescent="0.35">
      <c r="A4" s="33" t="s">
        <v>291</v>
      </c>
      <c r="B4" s="33" t="s">
        <v>11</v>
      </c>
      <c r="C4" s="33" t="s">
        <v>84</v>
      </c>
      <c r="D4" s="33" t="s">
        <v>178</v>
      </c>
      <c r="E4" t="s">
        <v>191</v>
      </c>
      <c r="F4" t="s">
        <v>292</v>
      </c>
      <c r="G4" t="s">
        <v>293</v>
      </c>
    </row>
    <row r="5" spans="1:7" x14ac:dyDescent="0.35">
      <c r="A5">
        <v>2019</v>
      </c>
      <c r="B5" t="s">
        <v>10</v>
      </c>
      <c r="C5" t="s">
        <v>325</v>
      </c>
      <c r="D5" t="s">
        <v>179</v>
      </c>
      <c r="E5" s="53">
        <v>4</v>
      </c>
      <c r="F5" s="53">
        <v>141</v>
      </c>
      <c r="G5" s="53">
        <v>564</v>
      </c>
    </row>
    <row r="6" spans="1:7" x14ac:dyDescent="0.35">
      <c r="D6" t="s">
        <v>176</v>
      </c>
      <c r="E6" s="53">
        <v>16</v>
      </c>
      <c r="F6" s="53">
        <v>173.9</v>
      </c>
      <c r="G6" s="53">
        <v>2782.4</v>
      </c>
    </row>
    <row r="7" spans="1:7" x14ac:dyDescent="0.35">
      <c r="D7" t="s">
        <v>16</v>
      </c>
      <c r="E7" s="53">
        <v>10</v>
      </c>
      <c r="F7" s="53">
        <v>180</v>
      </c>
      <c r="G7" s="53">
        <v>1800</v>
      </c>
    </row>
    <row r="8" spans="1:7" x14ac:dyDescent="0.35">
      <c r="D8" t="s">
        <v>15</v>
      </c>
      <c r="E8" s="53">
        <v>1</v>
      </c>
      <c r="F8" s="53">
        <v>1226.25</v>
      </c>
      <c r="G8" s="53">
        <v>1226.25</v>
      </c>
    </row>
    <row r="9" spans="1:7" x14ac:dyDescent="0.35">
      <c r="D9" t="s">
        <v>14</v>
      </c>
      <c r="E9" s="53">
        <v>5</v>
      </c>
      <c r="F9" s="53">
        <v>1226.25</v>
      </c>
      <c r="G9" s="53">
        <v>6131.25</v>
      </c>
    </row>
    <row r="10" spans="1:7" x14ac:dyDescent="0.35">
      <c r="B10" s="55" t="s">
        <v>294</v>
      </c>
      <c r="C10" s="55"/>
      <c r="D10" s="55"/>
      <c r="E10" s="56">
        <v>36</v>
      </c>
      <c r="F10" s="56">
        <v>2947.4</v>
      </c>
      <c r="G10" s="56">
        <v>12503.9</v>
      </c>
    </row>
    <row r="11" spans="1:7" x14ac:dyDescent="0.35">
      <c r="A11" s="91" t="s">
        <v>473</v>
      </c>
      <c r="B11" s="91"/>
      <c r="C11" s="91"/>
      <c r="D11" s="91"/>
      <c r="E11" s="92">
        <v>36</v>
      </c>
      <c r="F11" s="92">
        <v>2947.4</v>
      </c>
      <c r="G11" s="92">
        <v>12503.9</v>
      </c>
    </row>
    <row r="12" spans="1:7" x14ac:dyDescent="0.35">
      <c r="A12">
        <v>2020</v>
      </c>
      <c r="B12" t="s">
        <v>10</v>
      </c>
      <c r="C12" t="s">
        <v>207</v>
      </c>
      <c r="D12" t="s">
        <v>64</v>
      </c>
      <c r="E12" s="53">
        <v>20</v>
      </c>
      <c r="F12" s="53">
        <v>1452</v>
      </c>
      <c r="G12" s="53">
        <v>29040</v>
      </c>
    </row>
    <row r="13" spans="1:7" x14ac:dyDescent="0.35">
      <c r="C13" t="s">
        <v>273</v>
      </c>
      <c r="D13" t="s">
        <v>28</v>
      </c>
      <c r="E13" s="53">
        <v>40</v>
      </c>
      <c r="F13" s="53">
        <v>25</v>
      </c>
      <c r="G13" s="53">
        <v>1000</v>
      </c>
    </row>
    <row r="14" spans="1:7" x14ac:dyDescent="0.35">
      <c r="C14" t="s">
        <v>274</v>
      </c>
      <c r="D14" t="s">
        <v>17</v>
      </c>
      <c r="E14" s="53">
        <v>2</v>
      </c>
      <c r="F14" s="53">
        <v>204</v>
      </c>
      <c r="G14" s="53">
        <v>408</v>
      </c>
    </row>
    <row r="15" spans="1:7" x14ac:dyDescent="0.35">
      <c r="C15" t="s">
        <v>74</v>
      </c>
      <c r="D15" t="s">
        <v>19</v>
      </c>
      <c r="E15" s="53">
        <v>12</v>
      </c>
      <c r="F15" s="53">
        <v>77.5</v>
      </c>
      <c r="G15" s="53">
        <v>930</v>
      </c>
    </row>
    <row r="16" spans="1:7" x14ac:dyDescent="0.35">
      <c r="D16" t="s">
        <v>177</v>
      </c>
      <c r="E16" s="53">
        <v>16</v>
      </c>
      <c r="F16" s="53">
        <v>253.8</v>
      </c>
      <c r="G16" s="53">
        <v>4060.8</v>
      </c>
    </row>
    <row r="17" spans="3:7" x14ac:dyDescent="0.35">
      <c r="D17" t="s">
        <v>17</v>
      </c>
      <c r="E17" s="53">
        <v>2</v>
      </c>
      <c r="F17" s="53">
        <v>176</v>
      </c>
      <c r="G17" s="53">
        <v>352</v>
      </c>
    </row>
    <row r="18" spans="3:7" x14ac:dyDescent="0.35">
      <c r="D18" t="s">
        <v>15</v>
      </c>
      <c r="E18" s="53">
        <v>1</v>
      </c>
      <c r="F18" s="53">
        <v>1181.25</v>
      </c>
      <c r="G18" s="53">
        <v>1181.25</v>
      </c>
    </row>
    <row r="19" spans="3:7" x14ac:dyDescent="0.35">
      <c r="C19" t="s">
        <v>75</v>
      </c>
      <c r="D19" t="s">
        <v>19</v>
      </c>
      <c r="E19" s="53">
        <v>20</v>
      </c>
      <c r="F19" s="53">
        <v>77.5</v>
      </c>
      <c r="G19" s="53">
        <v>1550</v>
      </c>
    </row>
    <row r="20" spans="3:7" x14ac:dyDescent="0.35">
      <c r="D20" t="s">
        <v>176</v>
      </c>
      <c r="E20" s="53">
        <v>20</v>
      </c>
      <c r="F20" s="53">
        <v>173.9</v>
      </c>
      <c r="G20" s="53">
        <v>3478</v>
      </c>
    </row>
    <row r="21" spans="3:7" x14ac:dyDescent="0.35">
      <c r="D21" t="s">
        <v>29</v>
      </c>
      <c r="E21" s="53">
        <v>4</v>
      </c>
      <c r="F21" s="53">
        <v>1155</v>
      </c>
      <c r="G21" s="53">
        <v>4620</v>
      </c>
    </row>
    <row r="22" spans="3:7" x14ac:dyDescent="0.35">
      <c r="D22" t="s">
        <v>28</v>
      </c>
      <c r="E22" s="53">
        <v>40</v>
      </c>
      <c r="F22" s="53">
        <v>17.5</v>
      </c>
      <c r="G22" s="53">
        <v>700</v>
      </c>
    </row>
    <row r="23" spans="3:7" x14ac:dyDescent="0.35">
      <c r="C23" t="s">
        <v>76</v>
      </c>
      <c r="D23" t="s">
        <v>31</v>
      </c>
      <c r="E23" s="53">
        <v>2</v>
      </c>
      <c r="F23" s="53">
        <v>1155</v>
      </c>
      <c r="G23" s="53">
        <v>2310</v>
      </c>
    </row>
    <row r="24" spans="3:7" x14ac:dyDescent="0.35">
      <c r="D24" t="s">
        <v>29</v>
      </c>
      <c r="E24" s="53">
        <v>8</v>
      </c>
      <c r="F24" s="53">
        <v>1155</v>
      </c>
      <c r="G24" s="53">
        <v>9240</v>
      </c>
    </row>
    <row r="25" spans="3:7" x14ac:dyDescent="0.35">
      <c r="C25" t="s">
        <v>77</v>
      </c>
      <c r="D25" t="s">
        <v>16</v>
      </c>
      <c r="E25" s="53">
        <v>10</v>
      </c>
      <c r="F25" s="53">
        <v>172</v>
      </c>
      <c r="G25" s="53">
        <v>1720</v>
      </c>
    </row>
    <row r="26" spans="3:7" x14ac:dyDescent="0.35">
      <c r="D26" t="s">
        <v>15</v>
      </c>
      <c r="E26" s="53">
        <v>1</v>
      </c>
      <c r="F26" s="53">
        <v>1181.25</v>
      </c>
      <c r="G26" s="53">
        <v>1181.25</v>
      </c>
    </row>
    <row r="27" spans="3:7" x14ac:dyDescent="0.35">
      <c r="D27" t="s">
        <v>14</v>
      </c>
      <c r="E27" s="53">
        <v>2</v>
      </c>
      <c r="F27" s="53">
        <v>1181.25</v>
      </c>
      <c r="G27" s="53">
        <v>2362.5</v>
      </c>
    </row>
    <row r="28" spans="3:7" x14ac:dyDescent="0.35">
      <c r="C28" t="s">
        <v>78</v>
      </c>
      <c r="D28" t="s">
        <v>33</v>
      </c>
      <c r="E28" s="53">
        <v>1</v>
      </c>
      <c r="F28" s="53">
        <v>825</v>
      </c>
      <c r="G28" s="53">
        <v>825</v>
      </c>
    </row>
    <row r="29" spans="3:7" x14ac:dyDescent="0.35">
      <c r="C29" t="s">
        <v>81</v>
      </c>
      <c r="D29" t="s">
        <v>64</v>
      </c>
      <c r="E29" s="53">
        <v>10</v>
      </c>
      <c r="F29" s="53">
        <v>1155</v>
      </c>
      <c r="G29" s="53">
        <v>11550</v>
      </c>
    </row>
    <row r="30" spans="3:7" x14ac:dyDescent="0.35">
      <c r="C30" t="s">
        <v>82</v>
      </c>
      <c r="D30" t="s">
        <v>63</v>
      </c>
      <c r="E30" s="53">
        <v>1</v>
      </c>
      <c r="F30" s="53">
        <v>345</v>
      </c>
      <c r="G30" s="53">
        <v>345</v>
      </c>
    </row>
    <row r="31" spans="3:7" x14ac:dyDescent="0.35">
      <c r="D31" t="s">
        <v>29</v>
      </c>
      <c r="E31" s="53">
        <v>5</v>
      </c>
      <c r="F31" s="53">
        <v>1155</v>
      </c>
      <c r="G31" s="53">
        <v>5775</v>
      </c>
    </row>
    <row r="32" spans="3:7" x14ac:dyDescent="0.35">
      <c r="C32" t="s">
        <v>83</v>
      </c>
      <c r="D32" t="s">
        <v>33</v>
      </c>
      <c r="E32" s="53">
        <v>1</v>
      </c>
      <c r="F32" s="53">
        <v>900</v>
      </c>
      <c r="G32" s="53">
        <v>900</v>
      </c>
    </row>
    <row r="33" spans="3:7" x14ac:dyDescent="0.35">
      <c r="C33" t="s">
        <v>107</v>
      </c>
      <c r="D33" t="s">
        <v>19</v>
      </c>
      <c r="E33" s="53">
        <v>20</v>
      </c>
      <c r="F33" s="53">
        <v>77.5</v>
      </c>
      <c r="G33" s="53">
        <v>1550</v>
      </c>
    </row>
    <row r="34" spans="3:7" x14ac:dyDescent="0.35">
      <c r="D34" t="s">
        <v>16</v>
      </c>
      <c r="E34" s="53">
        <v>20</v>
      </c>
      <c r="F34" s="53">
        <v>168</v>
      </c>
      <c r="G34" s="53">
        <v>3360</v>
      </c>
    </row>
    <row r="35" spans="3:7" x14ac:dyDescent="0.35">
      <c r="C35" t="s">
        <v>106</v>
      </c>
      <c r="D35" t="s">
        <v>265</v>
      </c>
      <c r="E35" s="53">
        <v>1</v>
      </c>
      <c r="F35" s="53">
        <v>300</v>
      </c>
      <c r="G35" s="53">
        <v>300</v>
      </c>
    </row>
    <row r="36" spans="3:7" x14ac:dyDescent="0.35">
      <c r="D36" t="s">
        <v>29</v>
      </c>
      <c r="E36" s="53">
        <v>5</v>
      </c>
      <c r="F36" s="53">
        <v>1122</v>
      </c>
      <c r="G36" s="53">
        <v>5610</v>
      </c>
    </row>
    <row r="37" spans="3:7" x14ac:dyDescent="0.35">
      <c r="C37" t="s">
        <v>85</v>
      </c>
      <c r="D37" t="s">
        <v>180</v>
      </c>
      <c r="E37" s="53">
        <v>6</v>
      </c>
      <c r="F37" s="53">
        <v>253.8</v>
      </c>
      <c r="G37" s="53">
        <v>1522.8000000000002</v>
      </c>
    </row>
    <row r="38" spans="3:7" x14ac:dyDescent="0.35">
      <c r="D38" t="s">
        <v>177</v>
      </c>
      <c r="E38" s="53">
        <v>6</v>
      </c>
      <c r="F38" s="53">
        <v>253.8</v>
      </c>
      <c r="G38" s="53">
        <v>1522.8000000000002</v>
      </c>
    </row>
    <row r="39" spans="3:7" x14ac:dyDescent="0.35">
      <c r="D39" t="s">
        <v>16</v>
      </c>
      <c r="E39" s="53">
        <v>10</v>
      </c>
      <c r="F39" s="53">
        <v>168</v>
      </c>
      <c r="G39" s="53">
        <v>1680</v>
      </c>
    </row>
    <row r="40" spans="3:7" x14ac:dyDescent="0.35">
      <c r="D40" t="s">
        <v>31</v>
      </c>
      <c r="E40" s="53">
        <v>2</v>
      </c>
      <c r="F40" s="53">
        <v>1111</v>
      </c>
      <c r="G40" s="53">
        <v>2222</v>
      </c>
    </row>
    <row r="41" spans="3:7" x14ac:dyDescent="0.35">
      <c r="D41" t="s">
        <v>29</v>
      </c>
      <c r="E41" s="53">
        <v>10</v>
      </c>
      <c r="F41" s="53">
        <v>1111</v>
      </c>
      <c r="G41" s="53">
        <v>11110</v>
      </c>
    </row>
    <row r="42" spans="3:7" x14ac:dyDescent="0.35">
      <c r="C42" t="s">
        <v>148</v>
      </c>
      <c r="D42" t="s">
        <v>180</v>
      </c>
      <c r="E42" s="53">
        <v>15</v>
      </c>
      <c r="F42" s="53">
        <v>253.8</v>
      </c>
      <c r="G42" s="53">
        <v>3807</v>
      </c>
    </row>
    <row r="43" spans="3:7" x14ac:dyDescent="0.35">
      <c r="D43" t="s">
        <v>176</v>
      </c>
      <c r="E43" s="53">
        <v>20</v>
      </c>
      <c r="F43" s="53">
        <v>173.9</v>
      </c>
      <c r="G43" s="53">
        <v>3478</v>
      </c>
    </row>
    <row r="44" spans="3:7" x14ac:dyDescent="0.35">
      <c r="D44" t="s">
        <v>177</v>
      </c>
      <c r="E44" s="53">
        <v>20</v>
      </c>
      <c r="F44" s="53">
        <v>253.8</v>
      </c>
      <c r="G44" s="53">
        <v>5076</v>
      </c>
    </row>
    <row r="45" spans="3:7" x14ac:dyDescent="0.35">
      <c r="C45" t="s">
        <v>118</v>
      </c>
      <c r="D45" t="s">
        <v>29</v>
      </c>
      <c r="E45" s="53">
        <v>10</v>
      </c>
      <c r="F45" s="53">
        <v>1111</v>
      </c>
      <c r="G45" s="53">
        <v>11110</v>
      </c>
    </row>
    <row r="46" spans="3:7" x14ac:dyDescent="0.35">
      <c r="C46" t="s">
        <v>121</v>
      </c>
      <c r="D46" t="s">
        <v>19</v>
      </c>
      <c r="E46" s="53">
        <v>20</v>
      </c>
      <c r="F46" s="53">
        <v>77.5</v>
      </c>
      <c r="G46" s="53">
        <v>1550</v>
      </c>
    </row>
    <row r="47" spans="3:7" x14ac:dyDescent="0.35">
      <c r="D47" t="s">
        <v>16</v>
      </c>
      <c r="E47" s="53">
        <v>20</v>
      </c>
      <c r="F47" s="53">
        <v>168</v>
      </c>
      <c r="G47" s="53">
        <v>3360</v>
      </c>
    </row>
    <row r="48" spans="3:7" x14ac:dyDescent="0.35">
      <c r="D48" t="s">
        <v>31</v>
      </c>
      <c r="E48" s="53">
        <v>5</v>
      </c>
      <c r="F48" s="53">
        <v>1111</v>
      </c>
      <c r="G48" s="53">
        <v>5555</v>
      </c>
    </row>
    <row r="49" spans="3:7" x14ac:dyDescent="0.35">
      <c r="C49" t="s">
        <v>127</v>
      </c>
      <c r="D49" t="s">
        <v>64</v>
      </c>
      <c r="E49" s="53">
        <v>10</v>
      </c>
      <c r="F49" s="53">
        <v>1111</v>
      </c>
      <c r="G49" s="53">
        <v>11110</v>
      </c>
    </row>
    <row r="50" spans="3:7" x14ac:dyDescent="0.35">
      <c r="C50" t="s">
        <v>122</v>
      </c>
      <c r="D50" t="s">
        <v>29</v>
      </c>
      <c r="E50" s="53">
        <v>10</v>
      </c>
      <c r="F50" s="53">
        <v>1111</v>
      </c>
      <c r="G50" s="53">
        <v>11110</v>
      </c>
    </row>
    <row r="51" spans="3:7" x14ac:dyDescent="0.35">
      <c r="C51" t="s">
        <v>126</v>
      </c>
      <c r="D51" t="s">
        <v>55</v>
      </c>
      <c r="E51" s="53">
        <v>2</v>
      </c>
      <c r="F51" s="53">
        <v>168</v>
      </c>
      <c r="G51" s="53">
        <v>336</v>
      </c>
    </row>
    <row r="52" spans="3:7" x14ac:dyDescent="0.35">
      <c r="C52" t="s">
        <v>124</v>
      </c>
      <c r="D52" t="s">
        <v>245</v>
      </c>
      <c r="E52" s="53">
        <v>4</v>
      </c>
      <c r="F52" s="53">
        <v>28</v>
      </c>
      <c r="G52" s="53">
        <v>112</v>
      </c>
    </row>
    <row r="53" spans="3:7" x14ac:dyDescent="0.35">
      <c r="C53" t="s">
        <v>128</v>
      </c>
      <c r="D53" t="s">
        <v>17</v>
      </c>
      <c r="E53" s="53">
        <v>4</v>
      </c>
      <c r="F53" s="53">
        <v>176</v>
      </c>
      <c r="G53" s="53">
        <v>704</v>
      </c>
    </row>
    <row r="54" spans="3:7" x14ac:dyDescent="0.35">
      <c r="D54" t="s">
        <v>139</v>
      </c>
      <c r="E54" s="53">
        <v>1</v>
      </c>
      <c r="F54" s="53">
        <v>450</v>
      </c>
      <c r="G54" s="53">
        <v>450</v>
      </c>
    </row>
    <row r="55" spans="3:7" x14ac:dyDescent="0.35">
      <c r="C55" t="s">
        <v>159</v>
      </c>
      <c r="D55" t="s">
        <v>29</v>
      </c>
      <c r="E55" s="53">
        <v>5</v>
      </c>
      <c r="F55" s="53">
        <v>1199</v>
      </c>
      <c r="G55" s="53">
        <v>5995</v>
      </c>
    </row>
    <row r="56" spans="3:7" x14ac:dyDescent="0.35">
      <c r="C56" t="s">
        <v>174</v>
      </c>
      <c r="D56" t="s">
        <v>29</v>
      </c>
      <c r="E56" s="53">
        <v>5</v>
      </c>
      <c r="F56" s="53">
        <v>1199</v>
      </c>
      <c r="G56" s="53">
        <v>5995</v>
      </c>
    </row>
    <row r="57" spans="3:7" x14ac:dyDescent="0.35">
      <c r="C57" t="s">
        <v>175</v>
      </c>
      <c r="D57" t="s">
        <v>63</v>
      </c>
      <c r="E57" s="53">
        <v>1</v>
      </c>
      <c r="F57" s="53">
        <v>345</v>
      </c>
      <c r="G57" s="53">
        <v>345</v>
      </c>
    </row>
    <row r="58" spans="3:7" x14ac:dyDescent="0.35">
      <c r="D58" t="s">
        <v>153</v>
      </c>
      <c r="E58" s="53">
        <v>1</v>
      </c>
      <c r="F58" s="53">
        <v>90</v>
      </c>
      <c r="G58" s="53">
        <v>90</v>
      </c>
    </row>
    <row r="59" spans="3:7" x14ac:dyDescent="0.35">
      <c r="C59" t="s">
        <v>195</v>
      </c>
      <c r="D59" t="s">
        <v>196</v>
      </c>
      <c r="E59" s="53">
        <v>3</v>
      </c>
      <c r="F59" s="53">
        <v>297</v>
      </c>
      <c r="G59" s="53">
        <v>891</v>
      </c>
    </row>
    <row r="60" spans="3:7" x14ac:dyDescent="0.35">
      <c r="D60" t="s">
        <v>194</v>
      </c>
      <c r="E60" s="53">
        <v>20</v>
      </c>
      <c r="F60" s="53">
        <v>168</v>
      </c>
      <c r="G60" s="53">
        <v>3360</v>
      </c>
    </row>
    <row r="61" spans="3:7" x14ac:dyDescent="0.35">
      <c r="C61" t="s">
        <v>160</v>
      </c>
      <c r="D61" t="s">
        <v>19</v>
      </c>
      <c r="E61" s="53">
        <v>20</v>
      </c>
      <c r="F61" s="53">
        <v>77.5</v>
      </c>
      <c r="G61" s="53">
        <v>1550</v>
      </c>
    </row>
    <row r="62" spans="3:7" x14ac:dyDescent="0.35">
      <c r="C62" t="s">
        <v>79</v>
      </c>
      <c r="D62" t="s">
        <v>29</v>
      </c>
      <c r="E62" s="53">
        <v>5</v>
      </c>
      <c r="F62" s="53">
        <v>1155</v>
      </c>
      <c r="G62" s="53">
        <v>5775</v>
      </c>
    </row>
    <row r="63" spans="3:7" x14ac:dyDescent="0.35">
      <c r="C63" t="s">
        <v>80</v>
      </c>
      <c r="D63" t="s">
        <v>55</v>
      </c>
      <c r="E63" s="53">
        <v>2</v>
      </c>
      <c r="F63" s="53">
        <v>172</v>
      </c>
      <c r="G63" s="53">
        <v>344</v>
      </c>
    </row>
    <row r="64" spans="3:7" x14ac:dyDescent="0.35">
      <c r="C64" t="s">
        <v>326</v>
      </c>
      <c r="D64" t="s">
        <v>17</v>
      </c>
      <c r="E64" s="53">
        <v>4</v>
      </c>
      <c r="F64" s="53">
        <v>176</v>
      </c>
      <c r="G64" s="53">
        <v>704</v>
      </c>
    </row>
    <row r="65" spans="1:7" x14ac:dyDescent="0.35">
      <c r="C65" t="s">
        <v>404</v>
      </c>
      <c r="D65" t="s">
        <v>180</v>
      </c>
      <c r="E65" s="53">
        <v>4</v>
      </c>
      <c r="F65" s="53">
        <v>253.69</v>
      </c>
      <c r="G65" s="53">
        <v>1015.2</v>
      </c>
    </row>
    <row r="66" spans="1:7" x14ac:dyDescent="0.35">
      <c r="B66" s="55" t="s">
        <v>294</v>
      </c>
      <c r="C66" s="55"/>
      <c r="D66" s="55"/>
      <c r="E66" s="56">
        <v>509</v>
      </c>
      <c r="F66" s="56">
        <v>29908.239999999998</v>
      </c>
      <c r="G66" s="56">
        <v>196228.60000000003</v>
      </c>
    </row>
    <row r="67" spans="1:7" x14ac:dyDescent="0.35">
      <c r="B67" t="s">
        <v>20</v>
      </c>
      <c r="C67">
        <v>100620</v>
      </c>
      <c r="D67" t="s">
        <v>21</v>
      </c>
      <c r="E67" s="53">
        <v>1</v>
      </c>
      <c r="F67" s="53">
        <v>470</v>
      </c>
      <c r="G67" s="53">
        <v>470</v>
      </c>
    </row>
    <row r="68" spans="1:7" x14ac:dyDescent="0.35">
      <c r="B68" s="55" t="s">
        <v>399</v>
      </c>
      <c r="C68" s="55"/>
      <c r="D68" s="55"/>
      <c r="E68" s="56">
        <v>1</v>
      </c>
      <c r="F68" s="56">
        <v>470</v>
      </c>
      <c r="G68" s="56">
        <v>470</v>
      </c>
    </row>
    <row r="69" spans="1:7" x14ac:dyDescent="0.35">
      <c r="B69" t="s">
        <v>158</v>
      </c>
      <c r="C69" t="s">
        <v>335</v>
      </c>
      <c r="D69" t="s">
        <v>134</v>
      </c>
      <c r="E69" s="53">
        <v>1</v>
      </c>
      <c r="F69" s="53">
        <v>54</v>
      </c>
      <c r="G69" s="53">
        <v>54</v>
      </c>
    </row>
    <row r="70" spans="1:7" x14ac:dyDescent="0.35">
      <c r="B70" s="55" t="s">
        <v>396</v>
      </c>
      <c r="C70" s="55"/>
      <c r="D70" s="55"/>
      <c r="E70" s="56">
        <v>1</v>
      </c>
      <c r="F70" s="56">
        <v>54</v>
      </c>
      <c r="G70" s="56">
        <v>54</v>
      </c>
    </row>
    <row r="71" spans="1:7" x14ac:dyDescent="0.35">
      <c r="B71" t="s">
        <v>36</v>
      </c>
      <c r="C71" t="s">
        <v>108</v>
      </c>
      <c r="D71" t="s">
        <v>37</v>
      </c>
      <c r="E71" s="53">
        <v>1</v>
      </c>
      <c r="F71" s="53">
        <v>180</v>
      </c>
      <c r="G71" s="53">
        <v>180</v>
      </c>
    </row>
    <row r="72" spans="1:7" x14ac:dyDescent="0.35">
      <c r="C72" t="s">
        <v>109</v>
      </c>
      <c r="D72" t="s">
        <v>37</v>
      </c>
      <c r="E72" s="53">
        <v>2</v>
      </c>
      <c r="F72" s="53">
        <v>180</v>
      </c>
      <c r="G72" s="53">
        <v>360</v>
      </c>
    </row>
    <row r="73" spans="1:7" x14ac:dyDescent="0.35">
      <c r="C73" t="s">
        <v>110</v>
      </c>
      <c r="D73" t="s">
        <v>37</v>
      </c>
      <c r="E73" s="53">
        <v>6</v>
      </c>
      <c r="F73" s="53">
        <v>192</v>
      </c>
      <c r="G73" s="53">
        <v>1152</v>
      </c>
    </row>
    <row r="74" spans="1:7" x14ac:dyDescent="0.35">
      <c r="C74" t="s">
        <v>161</v>
      </c>
      <c r="D74" t="s">
        <v>37</v>
      </c>
      <c r="E74" s="53">
        <v>10</v>
      </c>
      <c r="F74" s="53">
        <v>212</v>
      </c>
      <c r="G74" s="53">
        <v>2120</v>
      </c>
    </row>
    <row r="75" spans="1:7" x14ac:dyDescent="0.35">
      <c r="C75" t="s">
        <v>235</v>
      </c>
      <c r="D75" t="s">
        <v>236</v>
      </c>
      <c r="E75" s="53">
        <v>4</v>
      </c>
      <c r="F75" s="53">
        <v>35</v>
      </c>
      <c r="G75" s="53">
        <v>140</v>
      </c>
    </row>
    <row r="76" spans="1:7" x14ac:dyDescent="0.35">
      <c r="B76" s="55" t="s">
        <v>400</v>
      </c>
      <c r="C76" s="55"/>
      <c r="D76" s="55"/>
      <c r="E76" s="56">
        <v>23</v>
      </c>
      <c r="F76" s="56">
        <v>799</v>
      </c>
      <c r="G76" s="56">
        <v>3952</v>
      </c>
    </row>
    <row r="77" spans="1:7" x14ac:dyDescent="0.35">
      <c r="A77" s="91" t="s">
        <v>474</v>
      </c>
      <c r="B77" s="91"/>
      <c r="C77" s="91"/>
      <c r="D77" s="91"/>
      <c r="E77" s="92">
        <v>534</v>
      </c>
      <c r="F77" s="92">
        <v>31231.239999999998</v>
      </c>
      <c r="G77" s="92">
        <v>200704.60000000003</v>
      </c>
    </row>
    <row r="78" spans="1:7" x14ac:dyDescent="0.35">
      <c r="A78">
        <v>2021</v>
      </c>
      <c r="B78" t="s">
        <v>10</v>
      </c>
      <c r="C78" t="s">
        <v>278</v>
      </c>
      <c r="D78" t="s">
        <v>194</v>
      </c>
      <c r="E78" s="53">
        <v>32</v>
      </c>
      <c r="F78" s="53">
        <v>186</v>
      </c>
      <c r="G78" s="53">
        <v>5952</v>
      </c>
    </row>
    <row r="79" spans="1:7" x14ac:dyDescent="0.35">
      <c r="C79" t="s">
        <v>276</v>
      </c>
      <c r="D79" t="s">
        <v>233</v>
      </c>
      <c r="E79" s="53">
        <v>1</v>
      </c>
      <c r="F79" s="53">
        <v>290</v>
      </c>
      <c r="G79" s="53">
        <v>290</v>
      </c>
    </row>
    <row r="80" spans="1:7" x14ac:dyDescent="0.35">
      <c r="D80" t="s">
        <v>234</v>
      </c>
      <c r="E80" s="53">
        <v>1</v>
      </c>
      <c r="F80" s="53">
        <v>290</v>
      </c>
      <c r="G80" s="53">
        <v>290</v>
      </c>
    </row>
    <row r="81" spans="3:7" x14ac:dyDescent="0.35">
      <c r="D81" t="s">
        <v>229</v>
      </c>
      <c r="E81" s="53">
        <v>1</v>
      </c>
      <c r="F81" s="53">
        <v>110</v>
      </c>
      <c r="G81" s="53">
        <v>110</v>
      </c>
    </row>
    <row r="82" spans="3:7" x14ac:dyDescent="0.35">
      <c r="D82" t="s">
        <v>231</v>
      </c>
      <c r="E82" s="53">
        <v>1</v>
      </c>
      <c r="F82" s="53">
        <v>150</v>
      </c>
      <c r="G82" s="53">
        <v>150</v>
      </c>
    </row>
    <row r="83" spans="3:7" x14ac:dyDescent="0.35">
      <c r="D83" t="s">
        <v>232</v>
      </c>
      <c r="E83" s="53">
        <v>3</v>
      </c>
      <c r="F83" s="53">
        <v>38</v>
      </c>
      <c r="G83" s="53">
        <v>114</v>
      </c>
    </row>
    <row r="84" spans="3:7" x14ac:dyDescent="0.35">
      <c r="D84" t="s">
        <v>214</v>
      </c>
      <c r="E84" s="53">
        <v>2</v>
      </c>
      <c r="F84" s="53">
        <v>2600</v>
      </c>
      <c r="G84" s="53">
        <v>5200</v>
      </c>
    </row>
    <row r="85" spans="3:7" x14ac:dyDescent="0.35">
      <c r="D85" t="s">
        <v>656</v>
      </c>
      <c r="E85" s="53">
        <v>1</v>
      </c>
      <c r="F85" s="53">
        <v>240</v>
      </c>
      <c r="G85" s="53">
        <v>240</v>
      </c>
    </row>
    <row r="86" spans="3:7" x14ac:dyDescent="0.35">
      <c r="C86" t="s">
        <v>275</v>
      </c>
      <c r="D86" t="s">
        <v>213</v>
      </c>
      <c r="E86" s="53">
        <v>2</v>
      </c>
      <c r="F86" s="53">
        <v>594</v>
      </c>
      <c r="G86" s="53">
        <v>1188</v>
      </c>
    </row>
    <row r="87" spans="3:7" x14ac:dyDescent="0.35">
      <c r="C87" t="s">
        <v>277</v>
      </c>
      <c r="D87" t="s">
        <v>238</v>
      </c>
      <c r="E87" s="53">
        <v>1</v>
      </c>
      <c r="F87" s="53">
        <v>39</v>
      </c>
      <c r="G87" s="53">
        <v>39</v>
      </c>
    </row>
    <row r="88" spans="3:7" x14ac:dyDescent="0.35">
      <c r="D88" t="s">
        <v>239</v>
      </c>
      <c r="E88" s="53">
        <v>16</v>
      </c>
      <c r="F88" s="53">
        <v>120</v>
      </c>
      <c r="G88" s="53">
        <v>120</v>
      </c>
    </row>
    <row r="89" spans="3:7" x14ac:dyDescent="0.35">
      <c r="C89" t="s">
        <v>279</v>
      </c>
      <c r="D89" t="s">
        <v>245</v>
      </c>
      <c r="E89" s="53">
        <v>12</v>
      </c>
      <c r="F89" s="53">
        <v>28</v>
      </c>
      <c r="G89" s="53">
        <v>336</v>
      </c>
    </row>
    <row r="90" spans="3:7" x14ac:dyDescent="0.35">
      <c r="D90" t="s">
        <v>229</v>
      </c>
      <c r="E90" s="53">
        <v>1</v>
      </c>
      <c r="F90" s="53">
        <v>110</v>
      </c>
      <c r="G90" s="53">
        <v>110</v>
      </c>
    </row>
    <row r="91" spans="3:7" x14ac:dyDescent="0.35">
      <c r="C91" t="s">
        <v>280</v>
      </c>
      <c r="D91" t="s">
        <v>234</v>
      </c>
      <c r="E91" s="53">
        <v>1</v>
      </c>
      <c r="F91" s="53">
        <v>290</v>
      </c>
      <c r="G91" s="53">
        <v>290</v>
      </c>
    </row>
    <row r="92" spans="3:7" x14ac:dyDescent="0.35">
      <c r="C92" t="s">
        <v>288</v>
      </c>
      <c r="D92" t="s">
        <v>19</v>
      </c>
      <c r="E92" s="53">
        <v>20</v>
      </c>
      <c r="F92" s="53">
        <v>80</v>
      </c>
      <c r="G92" s="53">
        <v>1600</v>
      </c>
    </row>
    <row r="93" spans="3:7" x14ac:dyDescent="0.35">
      <c r="D93" t="s">
        <v>29</v>
      </c>
      <c r="E93" s="53">
        <v>5</v>
      </c>
      <c r="F93" s="53">
        <v>1408</v>
      </c>
      <c r="G93" s="53">
        <v>7040</v>
      </c>
    </row>
    <row r="94" spans="3:7" x14ac:dyDescent="0.35">
      <c r="D94" t="s">
        <v>64</v>
      </c>
      <c r="E94" s="53">
        <v>5</v>
      </c>
      <c r="F94" s="53">
        <v>1408</v>
      </c>
      <c r="G94" s="53">
        <v>7040</v>
      </c>
    </row>
    <row r="95" spans="3:7" x14ac:dyDescent="0.35">
      <c r="D95" t="s">
        <v>28</v>
      </c>
      <c r="E95" s="53">
        <v>40</v>
      </c>
      <c r="F95" s="53">
        <v>30</v>
      </c>
      <c r="G95" s="53">
        <v>1200</v>
      </c>
    </row>
    <row r="96" spans="3:7" x14ac:dyDescent="0.35">
      <c r="D96" t="s">
        <v>405</v>
      </c>
      <c r="E96" s="53">
        <v>1</v>
      </c>
      <c r="F96" s="53">
        <v>55</v>
      </c>
      <c r="G96" s="53">
        <v>55</v>
      </c>
    </row>
    <row r="97" spans="3:7" x14ac:dyDescent="0.35">
      <c r="C97" t="s">
        <v>289</v>
      </c>
      <c r="D97" t="s">
        <v>194</v>
      </c>
      <c r="E97" s="53">
        <v>20</v>
      </c>
      <c r="F97" s="53">
        <v>192</v>
      </c>
      <c r="G97" s="53">
        <v>3840</v>
      </c>
    </row>
    <row r="98" spans="3:7" x14ac:dyDescent="0.35">
      <c r="D98" t="s">
        <v>245</v>
      </c>
      <c r="E98" s="53">
        <v>12</v>
      </c>
      <c r="F98" s="53">
        <v>28</v>
      </c>
      <c r="G98" s="53">
        <v>336</v>
      </c>
    </row>
    <row r="99" spans="3:7" x14ac:dyDescent="0.35">
      <c r="D99" t="s">
        <v>254</v>
      </c>
      <c r="E99" s="53">
        <v>1</v>
      </c>
      <c r="F99" s="53">
        <v>90</v>
      </c>
      <c r="G99" s="53">
        <v>90</v>
      </c>
    </row>
    <row r="100" spans="3:7" x14ac:dyDescent="0.35">
      <c r="C100" t="s">
        <v>281</v>
      </c>
      <c r="D100" t="s">
        <v>229</v>
      </c>
      <c r="E100" s="53">
        <v>1</v>
      </c>
      <c r="F100" s="53">
        <v>110</v>
      </c>
      <c r="G100" s="53">
        <v>110</v>
      </c>
    </row>
    <row r="101" spans="3:7" x14ac:dyDescent="0.35">
      <c r="C101" t="s">
        <v>282</v>
      </c>
      <c r="D101" t="s">
        <v>656</v>
      </c>
      <c r="E101" s="53">
        <v>1</v>
      </c>
      <c r="F101" s="53">
        <v>240</v>
      </c>
      <c r="G101" s="53">
        <v>240</v>
      </c>
    </row>
    <row r="102" spans="3:7" x14ac:dyDescent="0.35">
      <c r="C102" t="s">
        <v>308</v>
      </c>
      <c r="D102" t="s">
        <v>16</v>
      </c>
      <c r="E102" s="53">
        <v>11</v>
      </c>
      <c r="F102" s="53">
        <v>198</v>
      </c>
      <c r="G102" s="53">
        <v>2178</v>
      </c>
    </row>
    <row r="103" spans="3:7" x14ac:dyDescent="0.35">
      <c r="D103" t="s">
        <v>29</v>
      </c>
      <c r="E103" s="53">
        <v>10</v>
      </c>
      <c r="F103" s="53">
        <v>1408</v>
      </c>
      <c r="G103" s="53">
        <v>14080</v>
      </c>
    </row>
    <row r="104" spans="3:7" x14ac:dyDescent="0.35">
      <c r="C104" t="s">
        <v>309</v>
      </c>
      <c r="D104" t="s">
        <v>29</v>
      </c>
      <c r="E104" s="53">
        <v>10</v>
      </c>
      <c r="F104" s="53">
        <v>1408</v>
      </c>
      <c r="G104" s="53">
        <v>14080</v>
      </c>
    </row>
    <row r="105" spans="3:7" x14ac:dyDescent="0.35">
      <c r="C105" t="s">
        <v>327</v>
      </c>
      <c r="D105" t="s">
        <v>229</v>
      </c>
      <c r="E105" s="53">
        <v>2</v>
      </c>
      <c r="F105" s="53">
        <v>110</v>
      </c>
      <c r="G105" s="53">
        <v>220</v>
      </c>
    </row>
    <row r="106" spans="3:7" x14ac:dyDescent="0.35">
      <c r="C106" t="s">
        <v>328</v>
      </c>
      <c r="D106" t="s">
        <v>19</v>
      </c>
      <c r="E106" s="53">
        <v>16</v>
      </c>
      <c r="F106" s="53">
        <v>80</v>
      </c>
      <c r="G106" s="53">
        <v>1280</v>
      </c>
    </row>
    <row r="107" spans="3:7" x14ac:dyDescent="0.35">
      <c r="D107" t="s">
        <v>405</v>
      </c>
      <c r="E107" s="53">
        <v>8</v>
      </c>
      <c r="F107" s="53">
        <v>60</v>
      </c>
      <c r="G107" s="53">
        <v>480</v>
      </c>
    </row>
    <row r="108" spans="3:7" x14ac:dyDescent="0.35">
      <c r="C108" t="s">
        <v>330</v>
      </c>
      <c r="D108" t="s">
        <v>180</v>
      </c>
      <c r="E108" s="53">
        <v>16</v>
      </c>
      <c r="F108" s="53">
        <v>394.2</v>
      </c>
      <c r="G108" s="53">
        <v>6307.2</v>
      </c>
    </row>
    <row r="109" spans="3:7" x14ac:dyDescent="0.35">
      <c r="C109" t="s">
        <v>329</v>
      </c>
      <c r="D109" t="s">
        <v>194</v>
      </c>
      <c r="E109" s="53">
        <v>5</v>
      </c>
      <c r="F109" s="53">
        <v>219</v>
      </c>
      <c r="G109" s="53">
        <v>1095</v>
      </c>
    </row>
    <row r="110" spans="3:7" x14ac:dyDescent="0.35">
      <c r="C110" t="s">
        <v>331</v>
      </c>
      <c r="D110" t="s">
        <v>334</v>
      </c>
      <c r="E110" s="53">
        <v>2</v>
      </c>
      <c r="F110" s="53">
        <v>1620</v>
      </c>
      <c r="G110" s="53">
        <v>3240</v>
      </c>
    </row>
    <row r="111" spans="3:7" x14ac:dyDescent="0.35">
      <c r="C111" t="s">
        <v>366</v>
      </c>
      <c r="D111" t="s">
        <v>29</v>
      </c>
      <c r="E111" s="53">
        <v>5</v>
      </c>
      <c r="F111" s="53">
        <v>1650</v>
      </c>
      <c r="G111" s="53">
        <v>8250</v>
      </c>
    </row>
    <row r="112" spans="3:7" x14ac:dyDescent="0.35">
      <c r="C112" t="s">
        <v>367</v>
      </c>
      <c r="D112" t="s">
        <v>17</v>
      </c>
      <c r="E112" s="53">
        <v>2</v>
      </c>
      <c r="F112" s="53">
        <v>230</v>
      </c>
      <c r="G112" s="53">
        <v>460</v>
      </c>
    </row>
    <row r="113" spans="3:7" x14ac:dyDescent="0.35">
      <c r="D113" t="s">
        <v>29</v>
      </c>
      <c r="E113" s="53">
        <v>10</v>
      </c>
      <c r="F113" s="53">
        <v>1650</v>
      </c>
      <c r="G113" s="53">
        <v>16500</v>
      </c>
    </row>
    <row r="114" spans="3:7" x14ac:dyDescent="0.35">
      <c r="C114" t="s">
        <v>368</v>
      </c>
      <c r="D114" t="s">
        <v>16</v>
      </c>
      <c r="E114" s="53">
        <v>5</v>
      </c>
      <c r="F114" s="53">
        <v>222</v>
      </c>
      <c r="G114" s="53">
        <v>1110</v>
      </c>
    </row>
    <row r="115" spans="3:7" x14ac:dyDescent="0.35">
      <c r="C115" t="s">
        <v>369</v>
      </c>
      <c r="D115" t="s">
        <v>233</v>
      </c>
      <c r="E115" s="53">
        <v>2</v>
      </c>
      <c r="F115" s="53">
        <v>290</v>
      </c>
      <c r="G115" s="53">
        <v>580</v>
      </c>
    </row>
    <row r="116" spans="3:7" x14ac:dyDescent="0.35">
      <c r="C116" t="s">
        <v>370</v>
      </c>
      <c r="D116" t="s">
        <v>29</v>
      </c>
      <c r="E116" s="53">
        <v>6</v>
      </c>
      <c r="F116" s="53">
        <v>1650</v>
      </c>
      <c r="G116" s="53">
        <v>9900</v>
      </c>
    </row>
    <row r="117" spans="3:7" x14ac:dyDescent="0.35">
      <c r="D117" t="s">
        <v>28</v>
      </c>
      <c r="E117" s="53">
        <v>80</v>
      </c>
      <c r="F117" s="53">
        <v>30</v>
      </c>
      <c r="G117" s="53">
        <v>2400</v>
      </c>
    </row>
    <row r="118" spans="3:7" x14ac:dyDescent="0.35">
      <c r="C118" t="s">
        <v>383</v>
      </c>
      <c r="D118" t="s">
        <v>233</v>
      </c>
      <c r="E118" s="53">
        <v>2</v>
      </c>
      <c r="F118" s="53">
        <v>290</v>
      </c>
      <c r="G118" s="53">
        <v>580</v>
      </c>
    </row>
    <row r="119" spans="3:7" x14ac:dyDescent="0.35">
      <c r="D119" t="s">
        <v>19</v>
      </c>
      <c r="E119" s="53">
        <v>12</v>
      </c>
      <c r="F119" s="53">
        <v>80</v>
      </c>
      <c r="G119" s="53">
        <v>960</v>
      </c>
    </row>
    <row r="120" spans="3:7" x14ac:dyDescent="0.35">
      <c r="D120" t="s">
        <v>29</v>
      </c>
      <c r="E120" s="53">
        <v>20</v>
      </c>
      <c r="F120" s="53">
        <v>1650</v>
      </c>
      <c r="G120" s="53">
        <v>33000</v>
      </c>
    </row>
    <row r="121" spans="3:7" x14ac:dyDescent="0.35">
      <c r="C121" t="s">
        <v>384</v>
      </c>
      <c r="D121" t="s">
        <v>375</v>
      </c>
      <c r="E121" s="53">
        <v>16</v>
      </c>
      <c r="F121" s="53">
        <v>284.89999999999998</v>
      </c>
      <c r="G121" s="53">
        <v>4558.3999999999996</v>
      </c>
    </row>
    <row r="122" spans="3:7" x14ac:dyDescent="0.35">
      <c r="D122" t="s">
        <v>378</v>
      </c>
      <c r="E122" s="53">
        <v>16</v>
      </c>
      <c r="F122" s="53">
        <v>462</v>
      </c>
      <c r="G122" s="53">
        <v>7392</v>
      </c>
    </row>
    <row r="123" spans="3:7" x14ac:dyDescent="0.35">
      <c r="C123" t="s">
        <v>385</v>
      </c>
      <c r="D123" t="s">
        <v>31</v>
      </c>
      <c r="E123" s="53">
        <v>4</v>
      </c>
      <c r="F123" s="53">
        <v>1650</v>
      </c>
      <c r="G123" s="53">
        <v>6600</v>
      </c>
    </row>
    <row r="124" spans="3:7" x14ac:dyDescent="0.35">
      <c r="D124" t="s">
        <v>64</v>
      </c>
      <c r="E124" s="53">
        <v>10</v>
      </c>
      <c r="F124" s="53">
        <v>1727</v>
      </c>
      <c r="G124" s="53">
        <v>17270</v>
      </c>
    </row>
    <row r="125" spans="3:7" x14ac:dyDescent="0.35">
      <c r="C125" t="s">
        <v>433</v>
      </c>
      <c r="D125" t="s">
        <v>375</v>
      </c>
      <c r="E125" s="53">
        <v>25</v>
      </c>
      <c r="F125" s="53">
        <v>281.2</v>
      </c>
      <c r="G125" s="53">
        <v>7030</v>
      </c>
    </row>
    <row r="126" spans="3:7" x14ac:dyDescent="0.35">
      <c r="C126" t="s">
        <v>434</v>
      </c>
      <c r="D126" t="s">
        <v>28</v>
      </c>
      <c r="E126" s="53">
        <v>2</v>
      </c>
      <c r="F126" s="53">
        <v>30</v>
      </c>
      <c r="G126" s="53">
        <v>60</v>
      </c>
    </row>
    <row r="127" spans="3:7" x14ac:dyDescent="0.35">
      <c r="D127" t="s">
        <v>375</v>
      </c>
      <c r="E127" s="53">
        <v>10</v>
      </c>
      <c r="F127" s="53">
        <v>307.10000000000002</v>
      </c>
      <c r="G127" s="53">
        <v>3071</v>
      </c>
    </row>
    <row r="128" spans="3:7" x14ac:dyDescent="0.35">
      <c r="D128" t="s">
        <v>405</v>
      </c>
      <c r="E128" s="53">
        <v>4</v>
      </c>
      <c r="F128" s="53">
        <v>60</v>
      </c>
      <c r="G128" s="53">
        <v>240</v>
      </c>
    </row>
    <row r="129" spans="3:7" x14ac:dyDescent="0.35">
      <c r="D129" t="s">
        <v>436</v>
      </c>
      <c r="E129" s="53">
        <v>4</v>
      </c>
      <c r="F129" s="53">
        <v>1676.25</v>
      </c>
      <c r="G129" s="53">
        <v>6705</v>
      </c>
    </row>
    <row r="130" spans="3:7" x14ac:dyDescent="0.35">
      <c r="D130" t="s">
        <v>435</v>
      </c>
      <c r="E130" s="53">
        <v>4</v>
      </c>
      <c r="F130" s="53">
        <v>288</v>
      </c>
      <c r="G130" s="53">
        <v>1152</v>
      </c>
    </row>
    <row r="131" spans="3:7" x14ac:dyDescent="0.35">
      <c r="C131" t="s">
        <v>445</v>
      </c>
      <c r="D131" t="s">
        <v>447</v>
      </c>
      <c r="E131" s="53">
        <v>3</v>
      </c>
      <c r="F131" s="53">
        <v>500</v>
      </c>
      <c r="G131" s="53">
        <v>1500</v>
      </c>
    </row>
    <row r="132" spans="3:7" x14ac:dyDescent="0.35">
      <c r="C132" t="s">
        <v>446</v>
      </c>
      <c r="D132" t="s">
        <v>375</v>
      </c>
      <c r="E132" s="53">
        <v>2</v>
      </c>
      <c r="F132" s="53">
        <v>307.10000000000002</v>
      </c>
      <c r="G132" s="53">
        <v>614.20000000000005</v>
      </c>
    </row>
    <row r="133" spans="3:7" x14ac:dyDescent="0.35">
      <c r="D133" t="s">
        <v>435</v>
      </c>
      <c r="E133" s="53">
        <v>2</v>
      </c>
      <c r="F133" s="53">
        <v>288</v>
      </c>
      <c r="G133" s="53">
        <v>576</v>
      </c>
    </row>
    <row r="134" spans="3:7" x14ac:dyDescent="0.35">
      <c r="C134" t="s">
        <v>526</v>
      </c>
      <c r="D134" t="s">
        <v>29</v>
      </c>
      <c r="E134" s="53">
        <v>12</v>
      </c>
      <c r="F134" s="53">
        <v>1617</v>
      </c>
      <c r="G134" s="53">
        <v>19404</v>
      </c>
    </row>
    <row r="135" spans="3:7" x14ac:dyDescent="0.35">
      <c r="C135" t="s">
        <v>527</v>
      </c>
      <c r="D135" t="s">
        <v>233</v>
      </c>
      <c r="E135" s="53">
        <v>2</v>
      </c>
      <c r="F135" s="53">
        <v>290</v>
      </c>
      <c r="G135" s="53">
        <v>580</v>
      </c>
    </row>
    <row r="136" spans="3:7" x14ac:dyDescent="0.35">
      <c r="D136" t="s">
        <v>64</v>
      </c>
      <c r="E136" s="53">
        <v>10</v>
      </c>
      <c r="F136" s="53">
        <v>1650</v>
      </c>
      <c r="G136" s="53">
        <v>16500</v>
      </c>
    </row>
    <row r="137" spans="3:7" x14ac:dyDescent="0.35">
      <c r="D137" t="s">
        <v>375</v>
      </c>
      <c r="E137" s="53">
        <v>32</v>
      </c>
      <c r="F137" s="53">
        <v>281.2</v>
      </c>
      <c r="G137" s="53">
        <v>8998.4</v>
      </c>
    </row>
    <row r="138" spans="3:7" x14ac:dyDescent="0.35">
      <c r="D138" t="s">
        <v>405</v>
      </c>
      <c r="E138" s="53">
        <v>12</v>
      </c>
      <c r="F138" s="53">
        <v>60</v>
      </c>
      <c r="G138" s="53">
        <v>720</v>
      </c>
    </row>
    <row r="139" spans="3:7" x14ac:dyDescent="0.35">
      <c r="C139" t="s">
        <v>533</v>
      </c>
      <c r="D139" t="s">
        <v>405</v>
      </c>
      <c r="E139" s="53">
        <v>16</v>
      </c>
      <c r="F139" s="53">
        <v>65</v>
      </c>
      <c r="G139" s="53">
        <v>1040</v>
      </c>
    </row>
    <row r="140" spans="3:7" x14ac:dyDescent="0.35">
      <c r="C140" t="s">
        <v>534</v>
      </c>
      <c r="D140" t="s">
        <v>19</v>
      </c>
      <c r="E140" s="53">
        <v>12</v>
      </c>
      <c r="F140" s="53">
        <v>82.5</v>
      </c>
      <c r="G140" s="53">
        <v>990</v>
      </c>
    </row>
    <row r="141" spans="3:7" x14ac:dyDescent="0.35">
      <c r="D141" t="s">
        <v>435</v>
      </c>
      <c r="E141" s="53">
        <v>20</v>
      </c>
      <c r="F141" s="53">
        <v>288</v>
      </c>
      <c r="G141" s="53">
        <v>5760</v>
      </c>
    </row>
    <row r="142" spans="3:7" x14ac:dyDescent="0.35">
      <c r="C142" t="s">
        <v>535</v>
      </c>
      <c r="D142" t="s">
        <v>29</v>
      </c>
      <c r="E142" s="53">
        <v>10</v>
      </c>
      <c r="F142" s="53">
        <v>1815</v>
      </c>
      <c r="G142" s="53">
        <v>18150</v>
      </c>
    </row>
    <row r="143" spans="3:7" x14ac:dyDescent="0.35">
      <c r="C143" t="s">
        <v>536</v>
      </c>
      <c r="D143" t="s">
        <v>375</v>
      </c>
      <c r="E143" s="53">
        <v>1</v>
      </c>
      <c r="F143" s="53">
        <v>321.89999999999998</v>
      </c>
      <c r="G143" s="53">
        <v>321.89999999999998</v>
      </c>
    </row>
    <row r="144" spans="3:7" x14ac:dyDescent="0.35">
      <c r="D144" t="s">
        <v>501</v>
      </c>
      <c r="E144" s="53">
        <v>1</v>
      </c>
      <c r="F144" s="53">
        <v>105</v>
      </c>
      <c r="G144" s="53">
        <v>105</v>
      </c>
    </row>
    <row r="145" spans="3:7" x14ac:dyDescent="0.35">
      <c r="C145" t="s">
        <v>537</v>
      </c>
      <c r="D145" t="s">
        <v>375</v>
      </c>
      <c r="E145" s="53">
        <v>32</v>
      </c>
      <c r="F145" s="53">
        <v>321.89999999999998</v>
      </c>
      <c r="G145" s="53">
        <v>10300.799999999999</v>
      </c>
    </row>
    <row r="146" spans="3:7" x14ac:dyDescent="0.35">
      <c r="C146" t="s">
        <v>538</v>
      </c>
      <c r="D146" t="s">
        <v>435</v>
      </c>
      <c r="E146" s="53">
        <v>10</v>
      </c>
      <c r="F146" s="53">
        <v>288</v>
      </c>
      <c r="G146" s="53">
        <v>2880</v>
      </c>
    </row>
    <row r="147" spans="3:7" x14ac:dyDescent="0.35">
      <c r="C147" t="s">
        <v>539</v>
      </c>
      <c r="D147" t="s">
        <v>233</v>
      </c>
      <c r="E147" s="53">
        <v>5</v>
      </c>
      <c r="F147" s="53">
        <v>390</v>
      </c>
      <c r="G147" s="53">
        <v>1950</v>
      </c>
    </row>
    <row r="148" spans="3:7" x14ac:dyDescent="0.35">
      <c r="C148" t="s">
        <v>540</v>
      </c>
      <c r="D148" t="s">
        <v>19</v>
      </c>
      <c r="E148" s="53">
        <v>4</v>
      </c>
      <c r="F148" s="53">
        <v>90</v>
      </c>
      <c r="G148" s="53">
        <v>360</v>
      </c>
    </row>
    <row r="149" spans="3:7" x14ac:dyDescent="0.35">
      <c r="D149" t="s">
        <v>405</v>
      </c>
      <c r="E149" s="53">
        <v>8</v>
      </c>
      <c r="F149" s="53">
        <v>65</v>
      </c>
      <c r="G149" s="53">
        <v>520</v>
      </c>
    </row>
    <row r="150" spans="3:7" x14ac:dyDescent="0.35">
      <c r="C150" t="s">
        <v>541</v>
      </c>
      <c r="D150" t="s">
        <v>435</v>
      </c>
      <c r="E150" s="53">
        <v>10</v>
      </c>
      <c r="F150" s="53">
        <v>288</v>
      </c>
      <c r="G150" s="53">
        <v>2880</v>
      </c>
    </row>
    <row r="151" spans="3:7" x14ac:dyDescent="0.35">
      <c r="C151" t="s">
        <v>542</v>
      </c>
      <c r="D151" t="s">
        <v>28</v>
      </c>
      <c r="E151" s="53">
        <v>5</v>
      </c>
      <c r="F151" s="53">
        <v>32.5</v>
      </c>
      <c r="G151" s="53">
        <v>162.5</v>
      </c>
    </row>
    <row r="152" spans="3:7" x14ac:dyDescent="0.35">
      <c r="C152" t="s">
        <v>543</v>
      </c>
      <c r="D152" t="s">
        <v>28</v>
      </c>
      <c r="E152" s="53">
        <v>80</v>
      </c>
      <c r="F152" s="53">
        <v>32.5</v>
      </c>
      <c r="G152" s="53">
        <v>2600</v>
      </c>
    </row>
    <row r="153" spans="3:7" x14ac:dyDescent="0.35">
      <c r="C153" t="s">
        <v>572</v>
      </c>
      <c r="D153" t="s">
        <v>19</v>
      </c>
      <c r="E153" s="53">
        <v>12</v>
      </c>
      <c r="F153" s="53">
        <v>90</v>
      </c>
      <c r="G153" s="53">
        <v>1080</v>
      </c>
    </row>
    <row r="154" spans="3:7" x14ac:dyDescent="0.35">
      <c r="D154" t="s">
        <v>405</v>
      </c>
      <c r="E154" s="53">
        <v>20</v>
      </c>
      <c r="F154" s="53">
        <v>65</v>
      </c>
      <c r="G154" s="53">
        <v>1300</v>
      </c>
    </row>
    <row r="155" spans="3:7" x14ac:dyDescent="0.35">
      <c r="C155" t="s">
        <v>574</v>
      </c>
      <c r="D155" t="s">
        <v>233</v>
      </c>
      <c r="E155" s="53">
        <v>3</v>
      </c>
      <c r="F155" s="53">
        <v>390</v>
      </c>
      <c r="G155" s="53">
        <v>1170</v>
      </c>
    </row>
    <row r="156" spans="3:7" x14ac:dyDescent="0.35">
      <c r="D156" t="s">
        <v>575</v>
      </c>
      <c r="E156" s="53">
        <v>5</v>
      </c>
      <c r="F156" s="53">
        <v>1957.5</v>
      </c>
      <c r="G156" s="53">
        <v>9787.5</v>
      </c>
    </row>
    <row r="157" spans="3:7" x14ac:dyDescent="0.35">
      <c r="C157" t="s">
        <v>571</v>
      </c>
      <c r="D157" t="s">
        <v>435</v>
      </c>
      <c r="E157" s="53">
        <v>1</v>
      </c>
      <c r="F157" s="53">
        <v>288</v>
      </c>
      <c r="G157" s="53">
        <v>288</v>
      </c>
    </row>
    <row r="158" spans="3:7" x14ac:dyDescent="0.35">
      <c r="D158" t="s">
        <v>573</v>
      </c>
      <c r="E158" s="53">
        <v>2</v>
      </c>
      <c r="F158" s="53">
        <v>288</v>
      </c>
      <c r="G158" s="53">
        <v>576</v>
      </c>
    </row>
    <row r="159" spans="3:7" x14ac:dyDescent="0.35">
      <c r="C159" t="s">
        <v>567</v>
      </c>
      <c r="D159" t="s">
        <v>229</v>
      </c>
      <c r="E159" s="53">
        <v>2</v>
      </c>
      <c r="F159" s="53">
        <v>120</v>
      </c>
      <c r="G159" s="53">
        <v>240</v>
      </c>
    </row>
    <row r="160" spans="3:7" x14ac:dyDescent="0.35">
      <c r="D160" t="s">
        <v>568</v>
      </c>
      <c r="E160" s="53">
        <v>1</v>
      </c>
      <c r="F160" s="53">
        <v>420</v>
      </c>
      <c r="G160" s="53">
        <v>420</v>
      </c>
    </row>
    <row r="161" spans="2:7" x14ac:dyDescent="0.35">
      <c r="C161" t="s">
        <v>589</v>
      </c>
      <c r="D161" t="s">
        <v>265</v>
      </c>
      <c r="E161" s="53">
        <v>1</v>
      </c>
      <c r="F161" s="53">
        <v>345</v>
      </c>
      <c r="G161" s="53">
        <v>345</v>
      </c>
    </row>
    <row r="162" spans="2:7" x14ac:dyDescent="0.35">
      <c r="C162" t="s">
        <v>647</v>
      </c>
      <c r="D162" t="s">
        <v>614</v>
      </c>
      <c r="E162" s="53">
        <v>20</v>
      </c>
      <c r="F162" s="53">
        <v>264</v>
      </c>
      <c r="G162" s="53">
        <v>5280</v>
      </c>
    </row>
    <row r="163" spans="2:7" x14ac:dyDescent="0.35">
      <c r="D163" t="s">
        <v>613</v>
      </c>
      <c r="E163" s="53">
        <v>20</v>
      </c>
      <c r="F163" s="53">
        <v>528</v>
      </c>
      <c r="G163" s="53">
        <v>10560</v>
      </c>
    </row>
    <row r="164" spans="2:7" x14ac:dyDescent="0.35">
      <c r="C164" t="s">
        <v>903</v>
      </c>
      <c r="D164" t="s">
        <v>16</v>
      </c>
      <c r="E164" s="53">
        <v>5</v>
      </c>
      <c r="F164" s="53">
        <v>246</v>
      </c>
      <c r="G164" s="53">
        <v>1230</v>
      </c>
    </row>
    <row r="165" spans="2:7" x14ac:dyDescent="0.35">
      <c r="C165" t="s">
        <v>909</v>
      </c>
      <c r="D165" t="s">
        <v>614</v>
      </c>
      <c r="E165" s="53">
        <v>20</v>
      </c>
      <c r="F165" s="53">
        <v>279</v>
      </c>
      <c r="G165" s="53">
        <v>5580</v>
      </c>
    </row>
    <row r="166" spans="2:7" x14ac:dyDescent="0.35">
      <c r="B166" s="55" t="s">
        <v>294</v>
      </c>
      <c r="C166" s="55"/>
      <c r="D166" s="55"/>
      <c r="E166" s="56">
        <v>901</v>
      </c>
      <c r="F166" s="56">
        <v>43190.75</v>
      </c>
      <c r="G166" s="56">
        <v>341527.9</v>
      </c>
    </row>
    <row r="167" spans="2:7" x14ac:dyDescent="0.35">
      <c r="B167" t="s">
        <v>158</v>
      </c>
      <c r="C167" t="s">
        <v>335</v>
      </c>
      <c r="D167" t="s">
        <v>365</v>
      </c>
      <c r="E167" s="53">
        <v>1</v>
      </c>
      <c r="F167" s="53">
        <v>32</v>
      </c>
      <c r="G167" s="53">
        <v>32</v>
      </c>
    </row>
    <row r="168" spans="2:7" x14ac:dyDescent="0.35">
      <c r="C168" t="s">
        <v>907</v>
      </c>
      <c r="D168" t="s">
        <v>270</v>
      </c>
      <c r="E168" s="53">
        <v>3</v>
      </c>
      <c r="F168" s="53">
        <v>54</v>
      </c>
      <c r="G168" s="53">
        <v>162</v>
      </c>
    </row>
    <row r="169" spans="2:7" x14ac:dyDescent="0.35">
      <c r="C169" t="s">
        <v>908</v>
      </c>
      <c r="D169" t="s">
        <v>365</v>
      </c>
      <c r="E169" s="53">
        <v>1</v>
      </c>
      <c r="F169" s="53">
        <v>28.8</v>
      </c>
      <c r="G169" s="53">
        <v>28.8</v>
      </c>
    </row>
    <row r="170" spans="2:7" x14ac:dyDescent="0.35">
      <c r="D170" t="s">
        <v>373</v>
      </c>
      <c r="E170" s="53">
        <v>1</v>
      </c>
      <c r="F170" s="53">
        <v>38</v>
      </c>
      <c r="G170" s="53">
        <v>38</v>
      </c>
    </row>
    <row r="171" spans="2:7" x14ac:dyDescent="0.35">
      <c r="B171" s="55" t="s">
        <v>396</v>
      </c>
      <c r="C171" s="55"/>
      <c r="D171" s="55"/>
      <c r="E171" s="56">
        <v>6</v>
      </c>
      <c r="F171" s="56">
        <v>152.80000000000001</v>
      </c>
      <c r="G171" s="56">
        <v>260.8</v>
      </c>
    </row>
    <row r="172" spans="2:7" x14ac:dyDescent="0.35">
      <c r="B172" t="s">
        <v>310</v>
      </c>
      <c r="C172">
        <v>18634</v>
      </c>
      <c r="D172" t="s">
        <v>318</v>
      </c>
      <c r="E172" s="53">
        <v>20</v>
      </c>
      <c r="F172" s="53">
        <v>42</v>
      </c>
      <c r="G172" s="53">
        <v>840</v>
      </c>
    </row>
    <row r="173" spans="2:7" x14ac:dyDescent="0.35">
      <c r="C173">
        <v>18674</v>
      </c>
      <c r="D173" t="s">
        <v>313</v>
      </c>
      <c r="E173" s="53">
        <v>2</v>
      </c>
      <c r="F173" s="53">
        <v>50</v>
      </c>
      <c r="G173" s="53">
        <v>100</v>
      </c>
    </row>
    <row r="174" spans="2:7" x14ac:dyDescent="0.35">
      <c r="D174" t="s">
        <v>314</v>
      </c>
      <c r="E174" s="53">
        <v>2</v>
      </c>
      <c r="F174" s="53">
        <v>50</v>
      </c>
      <c r="G174" s="53">
        <v>100</v>
      </c>
    </row>
    <row r="175" spans="2:7" x14ac:dyDescent="0.35">
      <c r="B175" s="55" t="s">
        <v>397</v>
      </c>
      <c r="C175" s="55"/>
      <c r="D175" s="55"/>
      <c r="E175" s="56">
        <v>24</v>
      </c>
      <c r="F175" s="56">
        <v>142</v>
      </c>
      <c r="G175" s="56">
        <v>1040</v>
      </c>
    </row>
    <row r="176" spans="2:7" x14ac:dyDescent="0.35">
      <c r="B176" t="s">
        <v>335</v>
      </c>
      <c r="C176" t="s">
        <v>311</v>
      </c>
      <c r="D176" t="s">
        <v>16</v>
      </c>
      <c r="E176" s="53">
        <v>5</v>
      </c>
      <c r="F176" s="53">
        <v>210</v>
      </c>
      <c r="G176" s="53">
        <v>1050</v>
      </c>
    </row>
    <row r="177" spans="2:7" x14ac:dyDescent="0.35">
      <c r="B177" s="55" t="s">
        <v>336</v>
      </c>
      <c r="C177" s="55"/>
      <c r="D177" s="55"/>
      <c r="E177" s="56">
        <v>5</v>
      </c>
      <c r="F177" s="56">
        <v>210</v>
      </c>
      <c r="G177" s="56">
        <v>1050</v>
      </c>
    </row>
    <row r="178" spans="2:7" x14ac:dyDescent="0.35">
      <c r="B178" t="s">
        <v>307</v>
      </c>
      <c r="C178" t="s">
        <v>312</v>
      </c>
      <c r="D178" t="s">
        <v>643</v>
      </c>
      <c r="E178" s="53">
        <v>4</v>
      </c>
      <c r="F178" s="53">
        <v>305</v>
      </c>
      <c r="G178" s="53">
        <v>1220</v>
      </c>
    </row>
    <row r="179" spans="2:7" x14ac:dyDescent="0.35">
      <c r="C179" t="s">
        <v>494</v>
      </c>
      <c r="D179" t="s">
        <v>643</v>
      </c>
      <c r="E179" s="53">
        <v>4</v>
      </c>
      <c r="F179" s="53">
        <v>305</v>
      </c>
      <c r="G179" s="53">
        <v>1220</v>
      </c>
    </row>
    <row r="180" spans="2:7" x14ac:dyDescent="0.35">
      <c r="B180" s="55" t="s">
        <v>398</v>
      </c>
      <c r="C180" s="55"/>
      <c r="D180" s="55"/>
      <c r="E180" s="56">
        <v>8</v>
      </c>
      <c r="F180" s="56">
        <v>610</v>
      </c>
      <c r="G180" s="56">
        <v>2440</v>
      </c>
    </row>
    <row r="181" spans="2:7" x14ac:dyDescent="0.35">
      <c r="B181" t="s">
        <v>339</v>
      </c>
      <c r="C181" t="s">
        <v>351</v>
      </c>
      <c r="D181" t="s">
        <v>356</v>
      </c>
      <c r="E181" s="53">
        <v>6</v>
      </c>
      <c r="F181" s="53">
        <v>1672</v>
      </c>
      <c r="G181" s="53">
        <v>10032</v>
      </c>
    </row>
    <row r="182" spans="2:7" x14ac:dyDescent="0.35">
      <c r="D182" t="s">
        <v>357</v>
      </c>
      <c r="E182" s="53">
        <v>2</v>
      </c>
      <c r="F182" s="53">
        <v>1672</v>
      </c>
      <c r="G182" s="53">
        <v>3344</v>
      </c>
    </row>
    <row r="183" spans="2:7" x14ac:dyDescent="0.35">
      <c r="C183" t="s">
        <v>352</v>
      </c>
      <c r="D183" t="s">
        <v>358</v>
      </c>
      <c r="E183" s="53">
        <v>2</v>
      </c>
      <c r="F183" s="53">
        <v>1628</v>
      </c>
      <c r="G183" s="53">
        <v>3256</v>
      </c>
    </row>
    <row r="184" spans="2:7" x14ac:dyDescent="0.35">
      <c r="C184" t="s">
        <v>386</v>
      </c>
      <c r="D184" t="s">
        <v>356</v>
      </c>
      <c r="E184" s="53">
        <v>3</v>
      </c>
      <c r="F184" s="53">
        <v>1683</v>
      </c>
      <c r="G184" s="53">
        <v>5049</v>
      </c>
    </row>
    <row r="185" spans="2:7" x14ac:dyDescent="0.35">
      <c r="C185" t="s">
        <v>577</v>
      </c>
      <c r="D185" t="s">
        <v>356</v>
      </c>
      <c r="E185" s="53">
        <v>5</v>
      </c>
      <c r="F185" s="53">
        <v>1980</v>
      </c>
      <c r="G185" s="53">
        <v>9900</v>
      </c>
    </row>
    <row r="186" spans="2:7" x14ac:dyDescent="0.35">
      <c r="D186" t="s">
        <v>357</v>
      </c>
      <c r="E186" s="53">
        <v>1</v>
      </c>
      <c r="F186" s="53">
        <v>1980</v>
      </c>
      <c r="G186" s="53">
        <v>1980</v>
      </c>
    </row>
    <row r="187" spans="2:7" x14ac:dyDescent="0.35">
      <c r="D187" t="s">
        <v>358</v>
      </c>
      <c r="E187" s="53">
        <v>4</v>
      </c>
      <c r="F187" s="53">
        <v>1980</v>
      </c>
      <c r="G187" s="53">
        <v>7920</v>
      </c>
    </row>
    <row r="188" spans="2:7" x14ac:dyDescent="0.35">
      <c r="C188" t="s">
        <v>646</v>
      </c>
      <c r="D188" t="s">
        <v>579</v>
      </c>
      <c r="E188" s="53">
        <v>20</v>
      </c>
      <c r="F188" s="53">
        <v>306</v>
      </c>
      <c r="G188" s="53">
        <v>6120</v>
      </c>
    </row>
    <row r="189" spans="2:7" x14ac:dyDescent="0.35">
      <c r="B189" s="55" t="s">
        <v>401</v>
      </c>
      <c r="C189" s="55"/>
      <c r="D189" s="55"/>
      <c r="E189" s="56">
        <v>43</v>
      </c>
      <c r="F189" s="56">
        <v>12901</v>
      </c>
      <c r="G189" s="56">
        <v>47601</v>
      </c>
    </row>
    <row r="190" spans="2:7" x14ac:dyDescent="0.35">
      <c r="B190" t="s">
        <v>347</v>
      </c>
      <c r="C190" t="s">
        <v>348</v>
      </c>
      <c r="D190" t="s">
        <v>359</v>
      </c>
      <c r="E190" s="53">
        <v>10</v>
      </c>
      <c r="F190" s="53">
        <v>405</v>
      </c>
      <c r="G190" s="53">
        <v>4050</v>
      </c>
    </row>
    <row r="191" spans="2:7" x14ac:dyDescent="0.35">
      <c r="C191" t="s">
        <v>437</v>
      </c>
      <c r="D191" t="s">
        <v>359</v>
      </c>
      <c r="E191" s="53">
        <v>10</v>
      </c>
      <c r="F191" s="53">
        <v>432</v>
      </c>
      <c r="G191" s="53">
        <v>4320</v>
      </c>
    </row>
    <row r="192" spans="2:7" x14ac:dyDescent="0.35">
      <c r="C192" t="s">
        <v>530</v>
      </c>
      <c r="D192" t="s">
        <v>489</v>
      </c>
      <c r="E192" s="53">
        <v>5</v>
      </c>
      <c r="F192" s="53">
        <v>1749</v>
      </c>
      <c r="G192" s="53">
        <v>8745</v>
      </c>
    </row>
    <row r="193" spans="2:7" x14ac:dyDescent="0.35">
      <c r="C193" t="s">
        <v>531</v>
      </c>
      <c r="D193" t="s">
        <v>489</v>
      </c>
      <c r="E193" s="53">
        <v>10</v>
      </c>
      <c r="F193" s="53">
        <v>1914</v>
      </c>
      <c r="G193" s="53">
        <v>19140</v>
      </c>
    </row>
    <row r="194" spans="2:7" x14ac:dyDescent="0.35">
      <c r="C194" t="s">
        <v>582</v>
      </c>
      <c r="D194" t="s">
        <v>489</v>
      </c>
      <c r="E194" s="53">
        <v>10</v>
      </c>
      <c r="F194" s="53">
        <v>1914</v>
      </c>
      <c r="G194" s="53">
        <v>19140</v>
      </c>
    </row>
    <row r="195" spans="2:7" x14ac:dyDescent="0.35">
      <c r="C195" t="s">
        <v>578</v>
      </c>
      <c r="D195" t="s">
        <v>583</v>
      </c>
      <c r="E195" s="53">
        <v>10</v>
      </c>
      <c r="F195" s="53">
        <v>1936</v>
      </c>
      <c r="G195" s="53">
        <v>19360</v>
      </c>
    </row>
    <row r="196" spans="2:7" x14ac:dyDescent="0.35">
      <c r="B196" s="55" t="s">
        <v>402</v>
      </c>
      <c r="C196" s="55"/>
      <c r="D196" s="55"/>
      <c r="E196" s="56">
        <v>55</v>
      </c>
      <c r="F196" s="56">
        <v>8350</v>
      </c>
      <c r="G196" s="56">
        <v>74755</v>
      </c>
    </row>
    <row r="197" spans="2:7" x14ac:dyDescent="0.35">
      <c r="B197" t="s">
        <v>362</v>
      </c>
      <c r="C197">
        <v>13101</v>
      </c>
      <c r="D197" t="s">
        <v>675</v>
      </c>
      <c r="E197" s="53">
        <v>2</v>
      </c>
      <c r="F197" s="53">
        <v>320</v>
      </c>
      <c r="G197" s="53">
        <v>640</v>
      </c>
    </row>
    <row r="198" spans="2:7" x14ac:dyDescent="0.35">
      <c r="B198" s="55" t="s">
        <v>403</v>
      </c>
      <c r="C198" s="55"/>
      <c r="D198" s="55"/>
      <c r="E198" s="56">
        <v>2</v>
      </c>
      <c r="F198" s="56">
        <v>320</v>
      </c>
      <c r="G198" s="56">
        <v>640</v>
      </c>
    </row>
    <row r="199" spans="2:7" x14ac:dyDescent="0.35">
      <c r="B199" t="s">
        <v>424</v>
      </c>
      <c r="C199" t="s">
        <v>758</v>
      </c>
      <c r="D199" t="s">
        <v>426</v>
      </c>
      <c r="E199" s="53">
        <v>1</v>
      </c>
      <c r="F199" s="53">
        <v>800</v>
      </c>
      <c r="G199" s="53">
        <v>800</v>
      </c>
    </row>
    <row r="200" spans="2:7" x14ac:dyDescent="0.35">
      <c r="B200" s="55" t="s">
        <v>451</v>
      </c>
      <c r="C200" s="55"/>
      <c r="D200" s="55"/>
      <c r="E200" s="56">
        <v>1</v>
      </c>
      <c r="F200" s="56">
        <v>800</v>
      </c>
      <c r="G200" s="56">
        <v>800</v>
      </c>
    </row>
    <row r="201" spans="2:7" x14ac:dyDescent="0.35">
      <c r="B201" t="s">
        <v>429</v>
      </c>
      <c r="C201" t="s">
        <v>490</v>
      </c>
      <c r="D201" t="s">
        <v>431</v>
      </c>
      <c r="E201" s="53">
        <v>5</v>
      </c>
      <c r="F201" s="53">
        <v>1760</v>
      </c>
      <c r="G201" s="53">
        <v>8800</v>
      </c>
    </row>
    <row r="202" spans="2:7" x14ac:dyDescent="0.35">
      <c r="D202" t="s">
        <v>458</v>
      </c>
      <c r="E202" s="53">
        <v>9</v>
      </c>
      <c r="F202" s="53">
        <v>270</v>
      </c>
      <c r="G202" s="53">
        <v>2430</v>
      </c>
    </row>
    <row r="203" spans="2:7" x14ac:dyDescent="0.35">
      <c r="D203" t="s">
        <v>491</v>
      </c>
      <c r="E203" s="53">
        <v>10</v>
      </c>
      <c r="F203" s="53">
        <v>1760</v>
      </c>
      <c r="G203" s="53">
        <v>17600</v>
      </c>
    </row>
    <row r="204" spans="2:7" x14ac:dyDescent="0.35">
      <c r="C204" t="s">
        <v>528</v>
      </c>
      <c r="D204" t="s">
        <v>431</v>
      </c>
      <c r="E204" s="53">
        <v>4</v>
      </c>
      <c r="F204" s="53">
        <v>1760</v>
      </c>
      <c r="G204" s="53">
        <v>7040</v>
      </c>
    </row>
    <row r="205" spans="2:7" x14ac:dyDescent="0.35">
      <c r="D205" t="s">
        <v>430</v>
      </c>
      <c r="E205" s="53">
        <v>10</v>
      </c>
      <c r="F205" s="53">
        <v>468</v>
      </c>
      <c r="G205" s="53">
        <v>4680</v>
      </c>
    </row>
    <row r="206" spans="2:7" x14ac:dyDescent="0.35">
      <c r="C206" t="s">
        <v>529</v>
      </c>
      <c r="D206" t="s">
        <v>432</v>
      </c>
      <c r="E206" s="53">
        <v>12</v>
      </c>
      <c r="F206" s="53">
        <v>40</v>
      </c>
      <c r="G206" s="53">
        <v>480</v>
      </c>
    </row>
    <row r="207" spans="2:7" x14ac:dyDescent="0.35">
      <c r="C207" t="s">
        <v>552</v>
      </c>
      <c r="D207" t="s">
        <v>431</v>
      </c>
      <c r="E207" s="53">
        <v>4</v>
      </c>
      <c r="F207" s="53">
        <v>2002</v>
      </c>
      <c r="G207" s="53">
        <v>8008</v>
      </c>
    </row>
    <row r="208" spans="2:7" x14ac:dyDescent="0.35">
      <c r="D208" t="s">
        <v>491</v>
      </c>
      <c r="E208" s="53">
        <v>4</v>
      </c>
      <c r="F208" s="53">
        <v>2002</v>
      </c>
      <c r="G208" s="53">
        <v>8008</v>
      </c>
    </row>
    <row r="209" spans="1:7" x14ac:dyDescent="0.35">
      <c r="C209" t="s">
        <v>551</v>
      </c>
      <c r="D209" t="s">
        <v>435</v>
      </c>
      <c r="E209" s="53">
        <v>2</v>
      </c>
      <c r="F209" s="53">
        <v>240</v>
      </c>
      <c r="G209" s="53">
        <v>480</v>
      </c>
    </row>
    <row r="210" spans="1:7" x14ac:dyDescent="0.35">
      <c r="B210" s="55" t="s">
        <v>450</v>
      </c>
      <c r="C210" s="55"/>
      <c r="D210" s="55"/>
      <c r="E210" s="56">
        <v>60</v>
      </c>
      <c r="F210" s="56">
        <v>10302</v>
      </c>
      <c r="G210" s="56">
        <v>57526</v>
      </c>
    </row>
    <row r="211" spans="1:7" x14ac:dyDescent="0.35">
      <c r="B211" t="s">
        <v>461</v>
      </c>
      <c r="C211">
        <v>18084</v>
      </c>
      <c r="D211" t="s">
        <v>462</v>
      </c>
      <c r="E211" s="53">
        <v>12</v>
      </c>
      <c r="F211" s="53">
        <v>700</v>
      </c>
      <c r="G211" s="53">
        <v>8400</v>
      </c>
    </row>
    <row r="212" spans="1:7" x14ac:dyDescent="0.35">
      <c r="B212" s="55" t="s">
        <v>472</v>
      </c>
      <c r="C212" s="55"/>
      <c r="D212" s="55"/>
      <c r="E212" s="56">
        <v>12</v>
      </c>
      <c r="F212" s="56">
        <v>700</v>
      </c>
      <c r="G212" s="56">
        <v>8400</v>
      </c>
    </row>
    <row r="213" spans="1:7" x14ac:dyDescent="0.35">
      <c r="B213" t="s">
        <v>502</v>
      </c>
      <c r="C213" t="s">
        <v>532</v>
      </c>
      <c r="D213" t="s">
        <v>518</v>
      </c>
      <c r="E213" s="53">
        <v>10</v>
      </c>
      <c r="F213" s="53">
        <v>333</v>
      </c>
      <c r="G213" s="53">
        <v>3330</v>
      </c>
    </row>
    <row r="214" spans="1:7" x14ac:dyDescent="0.35">
      <c r="C214" t="s">
        <v>594</v>
      </c>
      <c r="D214" t="s">
        <v>591</v>
      </c>
      <c r="E214" s="53">
        <v>8</v>
      </c>
      <c r="F214" s="53">
        <v>362.6</v>
      </c>
      <c r="G214" s="53">
        <v>2900.8</v>
      </c>
    </row>
    <row r="215" spans="1:7" x14ac:dyDescent="0.35">
      <c r="D215" t="s">
        <v>592</v>
      </c>
      <c r="E215" s="53">
        <v>2</v>
      </c>
      <c r="F215" s="53">
        <v>486</v>
      </c>
      <c r="G215" s="53">
        <v>972</v>
      </c>
    </row>
    <row r="216" spans="1:7" x14ac:dyDescent="0.35">
      <c r="D216" t="s">
        <v>593</v>
      </c>
      <c r="E216" s="53">
        <v>4</v>
      </c>
      <c r="F216" s="53">
        <v>595.20000000000005</v>
      </c>
      <c r="G216" s="53">
        <v>2380.8000000000002</v>
      </c>
    </row>
    <row r="217" spans="1:7" x14ac:dyDescent="0.35">
      <c r="C217" t="s">
        <v>603</v>
      </c>
      <c r="D217" t="s">
        <v>591</v>
      </c>
      <c r="E217" s="53">
        <v>2</v>
      </c>
      <c r="F217" s="53">
        <v>362.6</v>
      </c>
      <c r="G217" s="53">
        <v>725.2</v>
      </c>
    </row>
    <row r="218" spans="1:7" x14ac:dyDescent="0.35">
      <c r="C218" t="s">
        <v>604</v>
      </c>
      <c r="D218" t="s">
        <v>591</v>
      </c>
      <c r="E218" s="53">
        <v>2</v>
      </c>
      <c r="F218" s="53">
        <v>362.6</v>
      </c>
      <c r="G218" s="53">
        <v>725.2</v>
      </c>
    </row>
    <row r="219" spans="1:7" x14ac:dyDescent="0.35">
      <c r="B219" s="55" t="s">
        <v>517</v>
      </c>
      <c r="C219" s="55"/>
      <c r="D219" s="55"/>
      <c r="E219" s="56">
        <v>28</v>
      </c>
      <c r="F219" s="56">
        <v>2502</v>
      </c>
      <c r="G219" s="56">
        <v>11034.000000000002</v>
      </c>
    </row>
    <row r="220" spans="1:7" x14ac:dyDescent="0.35">
      <c r="A220" s="91" t="s">
        <v>475</v>
      </c>
      <c r="B220" s="91"/>
      <c r="C220" s="91"/>
      <c r="D220" s="91"/>
      <c r="E220" s="92">
        <v>1145</v>
      </c>
      <c r="F220" s="92">
        <v>80180.550000000017</v>
      </c>
      <c r="G220" s="92">
        <v>547074.69999999995</v>
      </c>
    </row>
    <row r="221" spans="1:7" x14ac:dyDescent="0.35">
      <c r="A221">
        <v>2022</v>
      </c>
      <c r="B221" t="s">
        <v>10</v>
      </c>
      <c r="C221" t="s">
        <v>335</v>
      </c>
      <c r="D221" t="s">
        <v>19</v>
      </c>
      <c r="E221" s="53">
        <v>40</v>
      </c>
      <c r="F221" s="53">
        <v>190</v>
      </c>
      <c r="G221" s="53">
        <v>3800</v>
      </c>
    </row>
    <row r="222" spans="1:7" x14ac:dyDescent="0.35">
      <c r="D222" t="s">
        <v>180</v>
      </c>
      <c r="E222" s="53">
        <v>20</v>
      </c>
      <c r="F222" s="53">
        <v>475.2</v>
      </c>
      <c r="G222" s="53">
        <v>9504</v>
      </c>
    </row>
    <row r="223" spans="1:7" x14ac:dyDescent="0.35">
      <c r="D223" t="s">
        <v>245</v>
      </c>
      <c r="E223" s="53">
        <v>12</v>
      </c>
      <c r="F223" s="53">
        <v>43</v>
      </c>
      <c r="G223" s="53">
        <v>516</v>
      </c>
    </row>
    <row r="224" spans="1:7" x14ac:dyDescent="0.35">
      <c r="D224" t="s">
        <v>29</v>
      </c>
      <c r="E224" s="53">
        <v>10</v>
      </c>
      <c r="F224" s="53">
        <v>1870</v>
      </c>
      <c r="G224" s="53">
        <v>18700</v>
      </c>
    </row>
    <row r="225" spans="3:7" x14ac:dyDescent="0.35">
      <c r="D225" t="s">
        <v>64</v>
      </c>
      <c r="E225" s="53">
        <v>40</v>
      </c>
      <c r="F225" s="53">
        <v>5467</v>
      </c>
      <c r="G225" s="53">
        <v>73755</v>
      </c>
    </row>
    <row r="226" spans="3:7" x14ac:dyDescent="0.35">
      <c r="D226" t="s">
        <v>28</v>
      </c>
      <c r="E226" s="53">
        <v>215</v>
      </c>
      <c r="F226" s="53">
        <v>227.5</v>
      </c>
      <c r="G226" s="53">
        <v>6987.5</v>
      </c>
    </row>
    <row r="227" spans="3:7" x14ac:dyDescent="0.35">
      <c r="D227" t="s">
        <v>614</v>
      </c>
      <c r="E227" s="53">
        <v>20</v>
      </c>
      <c r="F227" s="53">
        <v>264</v>
      </c>
      <c r="G227" s="53">
        <v>5280</v>
      </c>
    </row>
    <row r="228" spans="3:7" x14ac:dyDescent="0.35">
      <c r="D228" t="s">
        <v>815</v>
      </c>
      <c r="E228" s="53">
        <v>20</v>
      </c>
      <c r="F228" s="53">
        <v>288</v>
      </c>
      <c r="G228" s="53">
        <v>5760</v>
      </c>
    </row>
    <row r="229" spans="3:7" x14ac:dyDescent="0.35">
      <c r="D229" t="s">
        <v>816</v>
      </c>
      <c r="E229" s="53">
        <v>10</v>
      </c>
      <c r="F229" s="53">
        <v>1870</v>
      </c>
      <c r="G229" s="53">
        <v>18700</v>
      </c>
    </row>
    <row r="230" spans="3:7" x14ac:dyDescent="0.35">
      <c r="D230" t="s">
        <v>900</v>
      </c>
      <c r="E230" s="53">
        <v>62</v>
      </c>
      <c r="F230" s="53">
        <v>1071</v>
      </c>
      <c r="G230" s="53">
        <v>16722</v>
      </c>
    </row>
    <row r="231" spans="3:7" x14ac:dyDescent="0.35">
      <c r="D231" t="s">
        <v>895</v>
      </c>
      <c r="E231" s="53">
        <v>15</v>
      </c>
      <c r="F231" s="53">
        <v>276</v>
      </c>
      <c r="G231" s="53">
        <v>4140</v>
      </c>
    </row>
    <row r="232" spans="3:7" x14ac:dyDescent="0.35">
      <c r="D232" t="s">
        <v>892</v>
      </c>
      <c r="E232" s="53">
        <v>1</v>
      </c>
      <c r="F232" s="53">
        <v>186</v>
      </c>
      <c r="G232" s="53">
        <v>186</v>
      </c>
    </row>
    <row r="233" spans="3:7" x14ac:dyDescent="0.35">
      <c r="D233" t="s">
        <v>975</v>
      </c>
      <c r="E233" s="53">
        <v>20</v>
      </c>
      <c r="F233" s="53">
        <v>299.7</v>
      </c>
      <c r="G233" s="53">
        <v>5994</v>
      </c>
    </row>
    <row r="234" spans="3:7" x14ac:dyDescent="0.35">
      <c r="D234" t="s">
        <v>980</v>
      </c>
      <c r="E234" s="53">
        <v>125</v>
      </c>
      <c r="F234" s="53">
        <v>1098</v>
      </c>
      <c r="G234" s="53">
        <v>27375</v>
      </c>
    </row>
    <row r="235" spans="3:7" x14ac:dyDescent="0.35">
      <c r="D235" t="s">
        <v>1022</v>
      </c>
      <c r="E235" s="53">
        <v>24</v>
      </c>
      <c r="F235" s="53">
        <v>4873</v>
      </c>
      <c r="G235" s="53">
        <v>39028</v>
      </c>
    </row>
    <row r="236" spans="3:7" x14ac:dyDescent="0.35">
      <c r="C236" t="s">
        <v>910</v>
      </c>
      <c r="D236" t="s">
        <v>265</v>
      </c>
      <c r="E236" s="53">
        <v>1</v>
      </c>
      <c r="F236" s="53">
        <v>345</v>
      </c>
      <c r="G236" s="53">
        <v>345</v>
      </c>
    </row>
    <row r="237" spans="3:7" x14ac:dyDescent="0.35">
      <c r="D237" t="s">
        <v>29</v>
      </c>
      <c r="E237" s="53">
        <v>15</v>
      </c>
      <c r="F237" s="53">
        <v>1815</v>
      </c>
      <c r="G237" s="53">
        <v>27225</v>
      </c>
    </row>
    <row r="238" spans="3:7" x14ac:dyDescent="0.35">
      <c r="D238" t="s">
        <v>28</v>
      </c>
      <c r="E238" s="53">
        <v>40</v>
      </c>
      <c r="F238" s="53">
        <v>32.5</v>
      </c>
      <c r="G238" s="53">
        <v>1300</v>
      </c>
    </row>
    <row r="239" spans="3:7" x14ac:dyDescent="0.35">
      <c r="D239" t="s">
        <v>405</v>
      </c>
      <c r="E239" s="53">
        <v>20</v>
      </c>
      <c r="F239" s="53">
        <v>65</v>
      </c>
      <c r="G239" s="53">
        <v>1300</v>
      </c>
    </row>
    <row r="240" spans="3:7" x14ac:dyDescent="0.35">
      <c r="C240" t="s">
        <v>911</v>
      </c>
      <c r="D240" t="s">
        <v>29</v>
      </c>
      <c r="E240" s="53">
        <v>5</v>
      </c>
      <c r="F240" s="53">
        <v>1815</v>
      </c>
      <c r="G240" s="53">
        <v>9075</v>
      </c>
    </row>
    <row r="241" spans="3:7" x14ac:dyDescent="0.35">
      <c r="C241" t="s">
        <v>913</v>
      </c>
      <c r="D241" t="s">
        <v>64</v>
      </c>
      <c r="E241" s="53">
        <v>15</v>
      </c>
      <c r="F241" s="53">
        <v>1815</v>
      </c>
      <c r="G241" s="53">
        <v>27225</v>
      </c>
    </row>
    <row r="242" spans="3:7" x14ac:dyDescent="0.35">
      <c r="C242" t="s">
        <v>912</v>
      </c>
      <c r="D242" t="s">
        <v>29</v>
      </c>
      <c r="E242" s="53">
        <v>15</v>
      </c>
      <c r="F242" s="53">
        <v>1815</v>
      </c>
      <c r="G242" s="53">
        <v>27225</v>
      </c>
    </row>
    <row r="243" spans="3:7" x14ac:dyDescent="0.35">
      <c r="C243" t="s">
        <v>914</v>
      </c>
      <c r="D243" t="s">
        <v>233</v>
      </c>
      <c r="E243" s="53">
        <v>2</v>
      </c>
      <c r="F243" s="53">
        <v>390</v>
      </c>
      <c r="G243" s="53">
        <v>780</v>
      </c>
    </row>
    <row r="244" spans="3:7" x14ac:dyDescent="0.35">
      <c r="D244" t="s">
        <v>19</v>
      </c>
      <c r="E244" s="53">
        <v>12</v>
      </c>
      <c r="F244" s="53">
        <v>90</v>
      </c>
      <c r="G244" s="53">
        <v>1080</v>
      </c>
    </row>
    <row r="245" spans="3:7" x14ac:dyDescent="0.35">
      <c r="D245" t="s">
        <v>254</v>
      </c>
      <c r="E245" s="53">
        <v>1</v>
      </c>
      <c r="F245" s="53">
        <v>110</v>
      </c>
      <c r="G245" s="53">
        <v>110</v>
      </c>
    </row>
    <row r="246" spans="3:7" x14ac:dyDescent="0.35">
      <c r="C246" t="s">
        <v>915</v>
      </c>
      <c r="D246" t="s">
        <v>29</v>
      </c>
      <c r="E246" s="53">
        <v>10</v>
      </c>
      <c r="F246" s="53">
        <v>1815</v>
      </c>
      <c r="G246" s="53">
        <v>18150</v>
      </c>
    </row>
    <row r="247" spans="3:7" x14ac:dyDescent="0.35">
      <c r="D247" t="s">
        <v>64</v>
      </c>
      <c r="E247" s="53">
        <v>10</v>
      </c>
      <c r="F247" s="53">
        <v>1870</v>
      </c>
      <c r="G247" s="53">
        <v>18700</v>
      </c>
    </row>
    <row r="248" spans="3:7" x14ac:dyDescent="0.35">
      <c r="C248" t="s">
        <v>917</v>
      </c>
      <c r="D248" t="s">
        <v>245</v>
      </c>
      <c r="E248" s="53">
        <v>12</v>
      </c>
      <c r="F248" s="53">
        <v>40</v>
      </c>
      <c r="G248" s="53">
        <v>480</v>
      </c>
    </row>
    <row r="249" spans="3:7" x14ac:dyDescent="0.35">
      <c r="C249" t="s">
        <v>920</v>
      </c>
      <c r="D249" t="s">
        <v>892</v>
      </c>
      <c r="E249" s="53">
        <v>1</v>
      </c>
      <c r="F249" s="53">
        <v>186</v>
      </c>
      <c r="G249" s="53">
        <v>186</v>
      </c>
    </row>
    <row r="250" spans="3:7" x14ac:dyDescent="0.35">
      <c r="C250" t="s">
        <v>921</v>
      </c>
      <c r="D250" t="s">
        <v>816</v>
      </c>
      <c r="E250" s="53">
        <v>10</v>
      </c>
      <c r="F250" s="53">
        <v>3740</v>
      </c>
      <c r="G250" s="53">
        <v>18700</v>
      </c>
    </row>
    <row r="251" spans="3:7" x14ac:dyDescent="0.35">
      <c r="C251" t="s">
        <v>905</v>
      </c>
      <c r="D251" t="s">
        <v>28</v>
      </c>
      <c r="E251" s="53">
        <v>40</v>
      </c>
      <c r="F251" s="53">
        <v>32.5</v>
      </c>
      <c r="G251" s="53">
        <v>1300</v>
      </c>
    </row>
    <row r="252" spans="3:7" x14ac:dyDescent="0.35">
      <c r="C252" t="s">
        <v>922</v>
      </c>
      <c r="D252" t="s">
        <v>900</v>
      </c>
      <c r="E252" s="53">
        <v>20</v>
      </c>
      <c r="F252" s="53">
        <v>288</v>
      </c>
      <c r="G252" s="53">
        <v>5760</v>
      </c>
    </row>
    <row r="253" spans="3:7" x14ac:dyDescent="0.35">
      <c r="C253" t="s">
        <v>930</v>
      </c>
      <c r="D253" t="s">
        <v>729</v>
      </c>
      <c r="E253" s="53">
        <v>20</v>
      </c>
      <c r="F253" s="53">
        <v>270</v>
      </c>
      <c r="G253" s="53">
        <v>5400</v>
      </c>
    </row>
    <row r="254" spans="3:7" x14ac:dyDescent="0.35">
      <c r="C254">
        <v>45115</v>
      </c>
      <c r="D254" t="s">
        <v>19</v>
      </c>
      <c r="E254" s="53">
        <v>32</v>
      </c>
      <c r="F254" s="53">
        <v>95</v>
      </c>
      <c r="G254" s="53">
        <v>3040</v>
      </c>
    </row>
    <row r="255" spans="3:7" x14ac:dyDescent="0.35">
      <c r="D255" t="s">
        <v>980</v>
      </c>
      <c r="E255" s="53">
        <v>40</v>
      </c>
      <c r="F255" s="53">
        <v>180</v>
      </c>
      <c r="G255" s="53">
        <v>7200</v>
      </c>
    </row>
    <row r="256" spans="3:7" x14ac:dyDescent="0.35">
      <c r="D256" t="s">
        <v>1022</v>
      </c>
      <c r="E256" s="53">
        <v>5</v>
      </c>
      <c r="F256" s="53">
        <v>1606</v>
      </c>
      <c r="G256" s="53">
        <v>8030</v>
      </c>
    </row>
    <row r="257" spans="2:7" x14ac:dyDescent="0.35">
      <c r="C257">
        <v>45183</v>
      </c>
      <c r="D257" t="s">
        <v>980</v>
      </c>
      <c r="E257" s="53">
        <v>40</v>
      </c>
      <c r="F257" s="53">
        <v>177</v>
      </c>
      <c r="G257" s="53">
        <v>7080</v>
      </c>
    </row>
    <row r="258" spans="2:7" x14ac:dyDescent="0.35">
      <c r="D258" t="s">
        <v>1022</v>
      </c>
      <c r="E258" s="53">
        <v>10</v>
      </c>
      <c r="F258" s="53">
        <v>1606</v>
      </c>
      <c r="G258" s="53">
        <v>16060</v>
      </c>
    </row>
    <row r="259" spans="2:7" x14ac:dyDescent="0.35">
      <c r="B259" s="55" t="s">
        <v>294</v>
      </c>
      <c r="C259" s="55"/>
      <c r="D259" s="55"/>
      <c r="E259" s="56">
        <v>1010</v>
      </c>
      <c r="F259" s="56">
        <v>38696.400000000001</v>
      </c>
      <c r="G259" s="56">
        <v>442198.5</v>
      </c>
    </row>
    <row r="260" spans="2:7" x14ac:dyDescent="0.35">
      <c r="B260" t="s">
        <v>158</v>
      </c>
      <c r="C260" t="s">
        <v>335</v>
      </c>
      <c r="D260" t="s">
        <v>134</v>
      </c>
      <c r="E260" s="53">
        <v>1</v>
      </c>
      <c r="F260" s="53">
        <v>50</v>
      </c>
      <c r="G260" s="53">
        <v>50</v>
      </c>
    </row>
    <row r="261" spans="2:7" x14ac:dyDescent="0.35">
      <c r="D261" t="s">
        <v>962</v>
      </c>
      <c r="E261" s="53">
        <v>1</v>
      </c>
      <c r="F261" s="53">
        <v>115</v>
      </c>
      <c r="G261" s="53">
        <v>115</v>
      </c>
    </row>
    <row r="262" spans="2:7" x14ac:dyDescent="0.35">
      <c r="B262" s="55" t="s">
        <v>396</v>
      </c>
      <c r="C262" s="55"/>
      <c r="D262" s="55"/>
      <c r="E262" s="56">
        <v>2</v>
      </c>
      <c r="F262" s="56">
        <v>165</v>
      </c>
      <c r="G262" s="56">
        <v>165</v>
      </c>
    </row>
    <row r="263" spans="2:7" x14ac:dyDescent="0.35">
      <c r="B263" t="s">
        <v>307</v>
      </c>
      <c r="C263" t="s">
        <v>648</v>
      </c>
      <c r="D263" t="s">
        <v>643</v>
      </c>
      <c r="E263" s="53">
        <v>4</v>
      </c>
      <c r="F263" s="53">
        <v>305</v>
      </c>
      <c r="G263" s="53">
        <v>1220</v>
      </c>
    </row>
    <row r="264" spans="2:7" x14ac:dyDescent="0.35">
      <c r="C264" t="s">
        <v>724</v>
      </c>
      <c r="D264" t="s">
        <v>643</v>
      </c>
      <c r="E264" s="53">
        <v>4</v>
      </c>
      <c r="F264" s="53">
        <v>305</v>
      </c>
      <c r="G264" s="53">
        <v>1220</v>
      </c>
    </row>
    <row r="265" spans="2:7" x14ac:dyDescent="0.35">
      <c r="C265" t="s">
        <v>799</v>
      </c>
      <c r="D265" t="s">
        <v>643</v>
      </c>
      <c r="E265" s="53">
        <v>4</v>
      </c>
      <c r="F265" s="53">
        <v>320</v>
      </c>
      <c r="G265" s="53">
        <v>1280</v>
      </c>
    </row>
    <row r="266" spans="2:7" x14ac:dyDescent="0.35">
      <c r="C266" t="s">
        <v>1013</v>
      </c>
      <c r="D266" t="s">
        <v>643</v>
      </c>
      <c r="E266" s="53">
        <v>4</v>
      </c>
      <c r="F266" s="53">
        <v>320</v>
      </c>
      <c r="G266" s="53">
        <v>1280</v>
      </c>
    </row>
    <row r="267" spans="2:7" x14ac:dyDescent="0.35">
      <c r="B267" s="55" t="s">
        <v>398</v>
      </c>
      <c r="C267" s="55"/>
      <c r="D267" s="55"/>
      <c r="E267" s="56">
        <v>16</v>
      </c>
      <c r="F267" s="56">
        <v>1250</v>
      </c>
      <c r="G267" s="56">
        <v>5000</v>
      </c>
    </row>
    <row r="268" spans="2:7" x14ac:dyDescent="0.35">
      <c r="B268" t="s">
        <v>347</v>
      </c>
      <c r="C268" t="s">
        <v>649</v>
      </c>
      <c r="D268" t="s">
        <v>489</v>
      </c>
      <c r="E268" s="53">
        <v>6</v>
      </c>
      <c r="F268" s="53">
        <v>1936</v>
      </c>
      <c r="G268" s="53">
        <v>11616</v>
      </c>
    </row>
    <row r="269" spans="2:7" x14ac:dyDescent="0.35">
      <c r="D269" t="s">
        <v>583</v>
      </c>
      <c r="E269" s="53">
        <v>4</v>
      </c>
      <c r="F269" s="53">
        <v>1936</v>
      </c>
      <c r="G269" s="53">
        <v>7744</v>
      </c>
    </row>
    <row r="270" spans="2:7" x14ac:dyDescent="0.35">
      <c r="D270" t="s">
        <v>624</v>
      </c>
      <c r="E270" s="53">
        <v>20</v>
      </c>
      <c r="F270" s="53">
        <v>270</v>
      </c>
      <c r="G270" s="53">
        <v>5400</v>
      </c>
    </row>
    <row r="271" spans="2:7" x14ac:dyDescent="0.35">
      <c r="D271" t="s">
        <v>625</v>
      </c>
      <c r="E271" s="53">
        <v>2</v>
      </c>
      <c r="F271" s="53">
        <v>270</v>
      </c>
      <c r="G271" s="53">
        <v>540</v>
      </c>
    </row>
    <row r="272" spans="2:7" x14ac:dyDescent="0.35">
      <c r="C272" t="s">
        <v>650</v>
      </c>
      <c r="D272" t="s">
        <v>489</v>
      </c>
      <c r="E272" s="53">
        <v>2</v>
      </c>
      <c r="F272" s="53">
        <v>1936</v>
      </c>
      <c r="G272" s="53">
        <v>3872</v>
      </c>
    </row>
    <row r="273" spans="2:7" x14ac:dyDescent="0.35">
      <c r="D273" t="s">
        <v>583</v>
      </c>
      <c r="E273" s="53">
        <v>8</v>
      </c>
      <c r="F273" s="53">
        <v>1936</v>
      </c>
      <c r="G273" s="53">
        <v>15488</v>
      </c>
    </row>
    <row r="274" spans="2:7" x14ac:dyDescent="0.35">
      <c r="D274" t="s">
        <v>632</v>
      </c>
      <c r="E274" s="53">
        <v>20</v>
      </c>
      <c r="F274" s="53">
        <v>283.5</v>
      </c>
      <c r="G274" s="53">
        <v>5670</v>
      </c>
    </row>
    <row r="275" spans="2:7" x14ac:dyDescent="0.35">
      <c r="C275" t="s">
        <v>651</v>
      </c>
      <c r="D275" t="s">
        <v>624</v>
      </c>
      <c r="E275" s="53">
        <v>4</v>
      </c>
      <c r="F275" s="53">
        <v>270</v>
      </c>
      <c r="G275" s="53">
        <v>1080</v>
      </c>
    </row>
    <row r="276" spans="2:7" x14ac:dyDescent="0.35">
      <c r="D276" t="s">
        <v>625</v>
      </c>
      <c r="E276" s="53">
        <v>6</v>
      </c>
      <c r="F276" s="53">
        <v>270</v>
      </c>
      <c r="G276" s="53">
        <v>1620</v>
      </c>
    </row>
    <row r="277" spans="2:7" x14ac:dyDescent="0.35">
      <c r="C277" t="s">
        <v>652</v>
      </c>
      <c r="D277" t="s">
        <v>583</v>
      </c>
      <c r="E277" s="53">
        <v>4</v>
      </c>
      <c r="F277" s="53">
        <v>1936</v>
      </c>
      <c r="G277" s="53">
        <v>7744</v>
      </c>
    </row>
    <row r="278" spans="2:7" x14ac:dyDescent="0.35">
      <c r="D278" t="s">
        <v>653</v>
      </c>
      <c r="E278" s="53">
        <v>1</v>
      </c>
      <c r="F278" s="53">
        <v>1936</v>
      </c>
      <c r="G278" s="53">
        <v>1936</v>
      </c>
    </row>
    <row r="279" spans="2:7" x14ac:dyDescent="0.35">
      <c r="D279" t="s">
        <v>683</v>
      </c>
      <c r="E279" s="53">
        <v>12</v>
      </c>
      <c r="F279" s="53">
        <v>46</v>
      </c>
      <c r="G279" s="53">
        <v>552</v>
      </c>
    </row>
    <row r="280" spans="2:7" x14ac:dyDescent="0.35">
      <c r="C280" t="s">
        <v>654</v>
      </c>
      <c r="D280" t="s">
        <v>489</v>
      </c>
      <c r="E280" s="53">
        <v>9</v>
      </c>
      <c r="F280" s="53">
        <v>1936</v>
      </c>
      <c r="G280" s="53">
        <v>17424</v>
      </c>
    </row>
    <row r="281" spans="2:7" x14ac:dyDescent="0.35">
      <c r="D281" t="s">
        <v>624</v>
      </c>
      <c r="E281" s="53">
        <v>20</v>
      </c>
      <c r="F281" s="53">
        <v>270</v>
      </c>
      <c r="G281" s="53">
        <v>5400</v>
      </c>
    </row>
    <row r="282" spans="2:7" x14ac:dyDescent="0.35">
      <c r="D282" t="s">
        <v>625</v>
      </c>
      <c r="E282" s="53">
        <v>5</v>
      </c>
      <c r="F282" s="53">
        <v>270</v>
      </c>
      <c r="G282" s="53">
        <v>1350</v>
      </c>
    </row>
    <row r="283" spans="2:7" x14ac:dyDescent="0.35">
      <c r="D283" t="s">
        <v>653</v>
      </c>
      <c r="E283" s="53">
        <v>1</v>
      </c>
      <c r="F283" s="53">
        <v>1936</v>
      </c>
      <c r="G283" s="53">
        <v>1936</v>
      </c>
    </row>
    <row r="284" spans="2:7" x14ac:dyDescent="0.35">
      <c r="D284" t="s">
        <v>655</v>
      </c>
      <c r="E284" s="53">
        <v>10</v>
      </c>
      <c r="F284" s="53">
        <v>486</v>
      </c>
      <c r="G284" s="53">
        <v>4860</v>
      </c>
    </row>
    <row r="285" spans="2:7" x14ac:dyDescent="0.35">
      <c r="C285" t="s">
        <v>676</v>
      </c>
      <c r="D285" t="s">
        <v>625</v>
      </c>
      <c r="E285" s="53">
        <v>10</v>
      </c>
      <c r="F285" s="53">
        <v>270</v>
      </c>
      <c r="G285" s="53">
        <v>2700</v>
      </c>
    </row>
    <row r="286" spans="2:7" x14ac:dyDescent="0.35">
      <c r="B286" s="55" t="s">
        <v>402</v>
      </c>
      <c r="C286" s="55"/>
      <c r="D286" s="55"/>
      <c r="E286" s="56">
        <v>144</v>
      </c>
      <c r="F286" s="56">
        <v>18193.5</v>
      </c>
      <c r="G286" s="56">
        <v>96932</v>
      </c>
    </row>
    <row r="287" spans="2:7" x14ac:dyDescent="0.35">
      <c r="B287" t="s">
        <v>362</v>
      </c>
      <c r="C287" t="s">
        <v>335</v>
      </c>
      <c r="D287" t="s">
        <v>675</v>
      </c>
      <c r="E287" s="53">
        <v>2</v>
      </c>
      <c r="F287" s="53">
        <v>740</v>
      </c>
      <c r="G287" s="53">
        <v>740</v>
      </c>
    </row>
    <row r="288" spans="2:7" x14ac:dyDescent="0.35">
      <c r="C288" t="s">
        <v>937</v>
      </c>
      <c r="D288" t="s">
        <v>675</v>
      </c>
      <c r="E288" s="53">
        <v>1</v>
      </c>
      <c r="F288" s="53">
        <v>370</v>
      </c>
      <c r="G288" s="53">
        <v>370</v>
      </c>
    </row>
    <row r="289" spans="2:7" x14ac:dyDescent="0.35">
      <c r="C289" t="s">
        <v>938</v>
      </c>
      <c r="D289" t="s">
        <v>675</v>
      </c>
      <c r="E289" s="53">
        <v>1</v>
      </c>
      <c r="F289" s="53">
        <v>370</v>
      </c>
      <c r="G289" s="53">
        <v>370</v>
      </c>
    </row>
    <row r="290" spans="2:7" x14ac:dyDescent="0.35">
      <c r="B290" s="55" t="s">
        <v>403</v>
      </c>
      <c r="C290" s="55"/>
      <c r="D290" s="55"/>
      <c r="E290" s="56">
        <v>4</v>
      </c>
      <c r="F290" s="56">
        <v>1480</v>
      </c>
      <c r="G290" s="56">
        <v>1480</v>
      </c>
    </row>
    <row r="291" spans="2:7" x14ac:dyDescent="0.35">
      <c r="B291" t="s">
        <v>429</v>
      </c>
      <c r="C291" t="s">
        <v>335</v>
      </c>
      <c r="D291" t="s">
        <v>763</v>
      </c>
      <c r="E291" s="53">
        <v>52</v>
      </c>
      <c r="F291" s="53">
        <v>160</v>
      </c>
      <c r="G291" s="53">
        <v>2790</v>
      </c>
    </row>
    <row r="292" spans="2:7" x14ac:dyDescent="0.35">
      <c r="D292" t="s">
        <v>862</v>
      </c>
      <c r="E292" s="53">
        <v>40</v>
      </c>
      <c r="F292" s="53">
        <v>408</v>
      </c>
      <c r="G292" s="53">
        <v>8160</v>
      </c>
    </row>
    <row r="293" spans="2:7" x14ac:dyDescent="0.35">
      <c r="D293" t="s">
        <v>1024</v>
      </c>
      <c r="E293" s="53">
        <v>32</v>
      </c>
      <c r="F293" s="53">
        <v>67.5</v>
      </c>
      <c r="G293" s="53">
        <v>2160</v>
      </c>
    </row>
    <row r="294" spans="2:7" x14ac:dyDescent="0.35">
      <c r="C294" t="s">
        <v>725</v>
      </c>
      <c r="D294" t="s">
        <v>763</v>
      </c>
      <c r="E294" s="53">
        <v>24</v>
      </c>
      <c r="F294" s="53">
        <v>55</v>
      </c>
      <c r="G294" s="53">
        <v>1320</v>
      </c>
    </row>
    <row r="295" spans="2:7" x14ac:dyDescent="0.35">
      <c r="C295" t="s">
        <v>797</v>
      </c>
      <c r="D295" t="s">
        <v>763</v>
      </c>
      <c r="E295" s="53">
        <v>20</v>
      </c>
      <c r="F295" s="53">
        <v>55</v>
      </c>
      <c r="G295" s="53">
        <v>1100</v>
      </c>
    </row>
    <row r="296" spans="2:7" x14ac:dyDescent="0.35">
      <c r="C296" t="s">
        <v>991</v>
      </c>
      <c r="D296" t="s">
        <v>862</v>
      </c>
      <c r="E296" s="53">
        <v>20</v>
      </c>
      <c r="F296" s="53">
        <v>208</v>
      </c>
      <c r="G296" s="53">
        <v>4160</v>
      </c>
    </row>
    <row r="297" spans="2:7" x14ac:dyDescent="0.35">
      <c r="B297" s="55" t="s">
        <v>450</v>
      </c>
      <c r="C297" s="55"/>
      <c r="D297" s="55"/>
      <c r="E297" s="56">
        <v>188</v>
      </c>
      <c r="F297" s="56">
        <v>953.5</v>
      </c>
      <c r="G297" s="56">
        <v>19690</v>
      </c>
    </row>
    <row r="298" spans="2:7" x14ac:dyDescent="0.35">
      <c r="B298" t="s">
        <v>686</v>
      </c>
      <c r="C298" t="s">
        <v>335</v>
      </c>
      <c r="D298" t="s">
        <v>64</v>
      </c>
      <c r="E298" s="53">
        <v>2</v>
      </c>
      <c r="F298" s="53">
        <v>1606</v>
      </c>
      <c r="G298" s="53">
        <v>3212</v>
      </c>
    </row>
    <row r="299" spans="2:7" x14ac:dyDescent="0.35">
      <c r="D299" t="s">
        <v>687</v>
      </c>
      <c r="E299" s="53">
        <v>2</v>
      </c>
      <c r="F299" s="53">
        <v>3476</v>
      </c>
      <c r="G299" s="53">
        <v>3476</v>
      </c>
    </row>
    <row r="300" spans="2:7" x14ac:dyDescent="0.35">
      <c r="D300" t="s">
        <v>720</v>
      </c>
      <c r="E300" s="53">
        <v>1</v>
      </c>
      <c r="F300" s="53">
        <v>310</v>
      </c>
      <c r="G300" s="53">
        <v>310</v>
      </c>
    </row>
    <row r="301" spans="2:7" x14ac:dyDescent="0.35">
      <c r="D301" t="s">
        <v>718</v>
      </c>
      <c r="E301" s="53">
        <v>2</v>
      </c>
      <c r="F301" s="53">
        <v>180</v>
      </c>
      <c r="G301" s="53">
        <v>360</v>
      </c>
    </row>
    <row r="302" spans="2:7" x14ac:dyDescent="0.35">
      <c r="D302" t="s">
        <v>729</v>
      </c>
      <c r="E302" s="53">
        <v>137</v>
      </c>
      <c r="F302" s="53">
        <v>2196</v>
      </c>
      <c r="G302" s="53">
        <v>37701</v>
      </c>
    </row>
    <row r="303" spans="2:7" x14ac:dyDescent="0.35">
      <c r="D303" t="s">
        <v>744</v>
      </c>
      <c r="E303" s="53">
        <v>36</v>
      </c>
      <c r="F303" s="53">
        <v>1290</v>
      </c>
      <c r="G303" s="53">
        <v>9288</v>
      </c>
    </row>
    <row r="304" spans="2:7" x14ac:dyDescent="0.35">
      <c r="D304" t="s">
        <v>745</v>
      </c>
      <c r="E304" s="53">
        <v>1</v>
      </c>
      <c r="F304" s="53">
        <v>250</v>
      </c>
      <c r="G304" s="53">
        <v>250</v>
      </c>
    </row>
    <row r="305" spans="4:7" x14ac:dyDescent="0.35">
      <c r="D305" t="s">
        <v>748</v>
      </c>
      <c r="E305" s="53">
        <v>2</v>
      </c>
      <c r="F305" s="53">
        <v>1793</v>
      </c>
      <c r="G305" s="53">
        <v>1793</v>
      </c>
    </row>
    <row r="306" spans="4:7" x14ac:dyDescent="0.35">
      <c r="D306" t="s">
        <v>765</v>
      </c>
      <c r="E306" s="53">
        <v>18</v>
      </c>
      <c r="F306" s="53">
        <v>4550</v>
      </c>
      <c r="G306" s="53">
        <v>11700</v>
      </c>
    </row>
    <row r="307" spans="4:7" x14ac:dyDescent="0.35">
      <c r="D307" t="s">
        <v>764</v>
      </c>
      <c r="E307" s="53">
        <v>1</v>
      </c>
      <c r="F307" s="53">
        <v>321.25</v>
      </c>
      <c r="G307" s="53">
        <v>321.25</v>
      </c>
    </row>
    <row r="308" spans="4:7" x14ac:dyDescent="0.35">
      <c r="D308" t="s">
        <v>791</v>
      </c>
      <c r="E308" s="53">
        <v>3</v>
      </c>
      <c r="F308" s="53">
        <v>388.8</v>
      </c>
      <c r="G308" s="53">
        <v>1166.4000000000001</v>
      </c>
    </row>
    <row r="309" spans="4:7" x14ac:dyDescent="0.35">
      <c r="D309" t="s">
        <v>813</v>
      </c>
      <c r="E309" s="53">
        <v>23</v>
      </c>
      <c r="F309" s="53">
        <v>5566</v>
      </c>
      <c r="G309" s="53">
        <v>42350</v>
      </c>
    </row>
    <row r="310" spans="4:7" x14ac:dyDescent="0.35">
      <c r="D310" t="s">
        <v>818</v>
      </c>
      <c r="E310" s="53">
        <v>2</v>
      </c>
      <c r="F310" s="53">
        <v>2184.6</v>
      </c>
      <c r="G310" s="53">
        <v>2184.6</v>
      </c>
    </row>
    <row r="311" spans="4:7" x14ac:dyDescent="0.35">
      <c r="D311" t="s">
        <v>842</v>
      </c>
      <c r="E311" s="53">
        <v>24</v>
      </c>
      <c r="F311" s="53">
        <v>1392</v>
      </c>
      <c r="G311" s="53">
        <v>5607</v>
      </c>
    </row>
    <row r="312" spans="4:7" x14ac:dyDescent="0.35">
      <c r="D312" t="s">
        <v>880</v>
      </c>
      <c r="E312" s="53">
        <v>10</v>
      </c>
      <c r="F312" s="53">
        <v>32.5</v>
      </c>
      <c r="G312" s="53">
        <v>325</v>
      </c>
    </row>
    <row r="313" spans="4:7" x14ac:dyDescent="0.35">
      <c r="D313" t="s">
        <v>928</v>
      </c>
      <c r="E313" s="53">
        <v>3</v>
      </c>
      <c r="F313" s="53">
        <v>256</v>
      </c>
      <c r="G313" s="53">
        <v>768</v>
      </c>
    </row>
    <row r="314" spans="4:7" x14ac:dyDescent="0.35">
      <c r="D314" t="s">
        <v>925</v>
      </c>
      <c r="E314" s="53">
        <v>50</v>
      </c>
      <c r="F314" s="53">
        <v>6798</v>
      </c>
      <c r="G314" s="53">
        <v>84370</v>
      </c>
    </row>
    <row r="315" spans="4:7" x14ac:dyDescent="0.35">
      <c r="D315" t="s">
        <v>955</v>
      </c>
      <c r="E315" s="53">
        <v>16</v>
      </c>
      <c r="F315" s="53">
        <v>96</v>
      </c>
      <c r="G315" s="53">
        <v>1536</v>
      </c>
    </row>
    <row r="316" spans="4:7" x14ac:dyDescent="0.35">
      <c r="D316" t="s">
        <v>956</v>
      </c>
      <c r="E316" s="53">
        <v>2</v>
      </c>
      <c r="F316" s="53">
        <v>160</v>
      </c>
      <c r="G316" s="53">
        <v>160</v>
      </c>
    </row>
    <row r="317" spans="4:7" x14ac:dyDescent="0.35">
      <c r="D317" t="s">
        <v>957</v>
      </c>
      <c r="E317" s="53">
        <v>12</v>
      </c>
      <c r="F317" s="53">
        <v>40</v>
      </c>
      <c r="G317" s="53">
        <v>480</v>
      </c>
    </row>
    <row r="318" spans="4:7" x14ac:dyDescent="0.35">
      <c r="D318" t="s">
        <v>958</v>
      </c>
      <c r="E318" s="53">
        <v>14</v>
      </c>
      <c r="F318" s="53">
        <v>575</v>
      </c>
      <c r="G318" s="53">
        <v>1610</v>
      </c>
    </row>
    <row r="319" spans="4:7" x14ac:dyDescent="0.35">
      <c r="D319" t="s">
        <v>959</v>
      </c>
      <c r="E319" s="53">
        <v>39</v>
      </c>
      <c r="F319" s="53">
        <v>1701.8000000000002</v>
      </c>
      <c r="G319" s="53">
        <v>21888.9</v>
      </c>
    </row>
    <row r="320" spans="4:7" x14ac:dyDescent="0.35">
      <c r="D320" t="s">
        <v>981</v>
      </c>
      <c r="E320" s="53">
        <v>8</v>
      </c>
      <c r="F320" s="53">
        <v>1090</v>
      </c>
      <c r="G320" s="53">
        <v>2910</v>
      </c>
    </row>
    <row r="321" spans="3:7" x14ac:dyDescent="0.35">
      <c r="D321" t="s">
        <v>976</v>
      </c>
      <c r="E321" s="53">
        <v>1</v>
      </c>
      <c r="F321" s="53">
        <v>1822.5</v>
      </c>
      <c r="G321" s="53">
        <v>1822.5</v>
      </c>
    </row>
    <row r="322" spans="3:7" x14ac:dyDescent="0.35">
      <c r="D322" t="s">
        <v>977</v>
      </c>
      <c r="E322" s="53">
        <v>1</v>
      </c>
      <c r="F322" s="53">
        <v>240</v>
      </c>
      <c r="G322" s="53">
        <v>240</v>
      </c>
    </row>
    <row r="323" spans="3:7" x14ac:dyDescent="0.35">
      <c r="D323" t="s">
        <v>979</v>
      </c>
      <c r="E323" s="53">
        <v>36</v>
      </c>
      <c r="F323" s="53">
        <v>6578</v>
      </c>
      <c r="G323" s="53">
        <v>58586</v>
      </c>
    </row>
    <row r="324" spans="3:7" x14ac:dyDescent="0.35">
      <c r="D324" t="s">
        <v>1022</v>
      </c>
      <c r="E324" s="53">
        <v>11</v>
      </c>
      <c r="F324" s="53">
        <v>3212</v>
      </c>
      <c r="G324" s="53">
        <v>17666</v>
      </c>
    </row>
    <row r="325" spans="3:7" x14ac:dyDescent="0.35">
      <c r="D325" t="s">
        <v>1023</v>
      </c>
      <c r="E325" s="53">
        <v>4</v>
      </c>
      <c r="F325" s="53">
        <v>330</v>
      </c>
      <c r="G325" s="53">
        <v>1320</v>
      </c>
    </row>
    <row r="326" spans="3:7" x14ac:dyDescent="0.35">
      <c r="D326" t="s">
        <v>1049</v>
      </c>
      <c r="E326" s="53">
        <v>1</v>
      </c>
      <c r="F326" s="53">
        <v>30</v>
      </c>
      <c r="G326" s="53">
        <v>30</v>
      </c>
    </row>
    <row r="327" spans="3:7" x14ac:dyDescent="0.35">
      <c r="D327" t="s">
        <v>1050</v>
      </c>
      <c r="E327" s="53">
        <v>1</v>
      </c>
      <c r="F327" s="53">
        <v>195</v>
      </c>
      <c r="G327" s="53">
        <v>195</v>
      </c>
    </row>
    <row r="328" spans="3:7" x14ac:dyDescent="0.35">
      <c r="D328" t="s">
        <v>1098</v>
      </c>
      <c r="E328" s="53">
        <v>30</v>
      </c>
      <c r="F328" s="53">
        <v>213</v>
      </c>
      <c r="G328" s="53">
        <v>6390</v>
      </c>
    </row>
    <row r="329" spans="3:7" x14ac:dyDescent="0.35">
      <c r="D329" t="s">
        <v>1085</v>
      </c>
      <c r="E329" s="53">
        <v>15</v>
      </c>
      <c r="F329" s="53">
        <v>206</v>
      </c>
      <c r="G329" s="53">
        <v>3090</v>
      </c>
    </row>
    <row r="330" spans="3:7" x14ac:dyDescent="0.35">
      <c r="D330" t="s">
        <v>1147</v>
      </c>
      <c r="E330" s="53">
        <v>3</v>
      </c>
      <c r="F330" s="53">
        <v>166</v>
      </c>
      <c r="G330" s="53">
        <v>498</v>
      </c>
    </row>
    <row r="331" spans="3:7" x14ac:dyDescent="0.35">
      <c r="C331" t="s">
        <v>716</v>
      </c>
      <c r="D331" t="s">
        <v>687</v>
      </c>
      <c r="E331" s="53">
        <v>1</v>
      </c>
      <c r="F331" s="53">
        <v>1804</v>
      </c>
      <c r="G331" s="53">
        <v>1804</v>
      </c>
    </row>
    <row r="332" spans="3:7" x14ac:dyDescent="0.35">
      <c r="C332" t="s">
        <v>717</v>
      </c>
      <c r="D332" t="s">
        <v>687</v>
      </c>
      <c r="E332" s="53">
        <v>1</v>
      </c>
      <c r="F332" s="53">
        <v>1859</v>
      </c>
      <c r="G332" s="53">
        <v>1859</v>
      </c>
    </row>
    <row r="333" spans="3:7" x14ac:dyDescent="0.35">
      <c r="D333" t="s">
        <v>719</v>
      </c>
      <c r="E333" s="53">
        <v>1</v>
      </c>
      <c r="F333" s="53">
        <v>160</v>
      </c>
      <c r="G333" s="53">
        <v>160</v>
      </c>
    </row>
    <row r="334" spans="3:7" x14ac:dyDescent="0.35">
      <c r="D334" t="s">
        <v>720</v>
      </c>
      <c r="E334" s="53">
        <v>1</v>
      </c>
      <c r="F334" s="53">
        <v>310</v>
      </c>
      <c r="G334" s="53">
        <v>310</v>
      </c>
    </row>
    <row r="335" spans="3:7" x14ac:dyDescent="0.35">
      <c r="D335" t="s">
        <v>718</v>
      </c>
      <c r="E335" s="53">
        <v>2</v>
      </c>
      <c r="F335" s="53">
        <v>185</v>
      </c>
      <c r="G335" s="53">
        <v>370</v>
      </c>
    </row>
    <row r="336" spans="3:7" x14ac:dyDescent="0.35">
      <c r="C336" t="s">
        <v>727</v>
      </c>
      <c r="D336" t="s">
        <v>729</v>
      </c>
      <c r="E336" s="53">
        <v>20</v>
      </c>
      <c r="F336" s="53">
        <v>273</v>
      </c>
      <c r="G336" s="53">
        <v>5460</v>
      </c>
    </row>
    <row r="337" spans="3:7" x14ac:dyDescent="0.35">
      <c r="D337" t="s">
        <v>728</v>
      </c>
      <c r="E337" s="53">
        <v>10</v>
      </c>
      <c r="F337" s="53">
        <v>546</v>
      </c>
      <c r="G337" s="53">
        <v>5460</v>
      </c>
    </row>
    <row r="338" spans="3:7" x14ac:dyDescent="0.35">
      <c r="C338" t="s">
        <v>788</v>
      </c>
      <c r="D338" t="s">
        <v>787</v>
      </c>
      <c r="E338" s="53">
        <v>2</v>
      </c>
      <c r="F338" s="53">
        <v>69.5</v>
      </c>
      <c r="G338" s="53">
        <v>139</v>
      </c>
    </row>
    <row r="339" spans="3:7" x14ac:dyDescent="0.35">
      <c r="C339" t="s">
        <v>798</v>
      </c>
      <c r="D339" t="s">
        <v>791</v>
      </c>
      <c r="E339" s="53">
        <v>5</v>
      </c>
      <c r="F339" s="53">
        <v>491.4</v>
      </c>
      <c r="G339" s="53">
        <v>2457</v>
      </c>
    </row>
    <row r="340" spans="3:7" x14ac:dyDescent="0.35">
      <c r="C340" t="s">
        <v>796</v>
      </c>
      <c r="D340" t="s">
        <v>729</v>
      </c>
      <c r="E340" s="53">
        <v>10</v>
      </c>
      <c r="F340" s="53">
        <v>273</v>
      </c>
      <c r="G340" s="53">
        <v>2730</v>
      </c>
    </row>
    <row r="341" spans="3:7" x14ac:dyDescent="0.35">
      <c r="D341" t="s">
        <v>744</v>
      </c>
      <c r="E341" s="53">
        <v>2</v>
      </c>
      <c r="F341" s="53">
        <v>258</v>
      </c>
      <c r="G341" s="53">
        <v>516</v>
      </c>
    </row>
    <row r="342" spans="3:7" x14ac:dyDescent="0.35">
      <c r="D342" t="s">
        <v>791</v>
      </c>
      <c r="E342" s="53">
        <v>16</v>
      </c>
      <c r="F342" s="53">
        <v>491.4</v>
      </c>
      <c r="G342" s="53">
        <v>7862.4</v>
      </c>
    </row>
    <row r="343" spans="3:7" x14ac:dyDescent="0.35">
      <c r="C343" t="s">
        <v>812</v>
      </c>
      <c r="D343" t="s">
        <v>813</v>
      </c>
      <c r="E343" s="53">
        <v>20</v>
      </c>
      <c r="F343" s="53">
        <v>1870</v>
      </c>
      <c r="G343" s="53">
        <v>37400</v>
      </c>
    </row>
    <row r="344" spans="3:7" x14ac:dyDescent="0.35">
      <c r="D344" t="s">
        <v>814</v>
      </c>
      <c r="E344" s="53">
        <v>15</v>
      </c>
      <c r="F344" s="53">
        <v>1892</v>
      </c>
      <c r="G344" s="53">
        <v>28380</v>
      </c>
    </row>
    <row r="345" spans="3:7" x14ac:dyDescent="0.35">
      <c r="C345" t="s">
        <v>890</v>
      </c>
      <c r="D345" t="s">
        <v>728</v>
      </c>
      <c r="E345" s="53">
        <v>16</v>
      </c>
      <c r="F345" s="53">
        <v>552</v>
      </c>
      <c r="G345" s="53">
        <v>8832</v>
      </c>
    </row>
    <row r="346" spans="3:7" x14ac:dyDescent="0.35">
      <c r="C346" t="s">
        <v>889</v>
      </c>
      <c r="D346" t="s">
        <v>687</v>
      </c>
      <c r="E346" s="53">
        <v>1</v>
      </c>
      <c r="F346" s="53">
        <v>1848</v>
      </c>
      <c r="G346" s="53">
        <v>1848</v>
      </c>
    </row>
    <row r="347" spans="3:7" x14ac:dyDescent="0.35">
      <c r="D347" t="s">
        <v>841</v>
      </c>
      <c r="E347" s="53">
        <v>2</v>
      </c>
      <c r="F347" s="53">
        <v>35</v>
      </c>
      <c r="G347" s="53">
        <v>70</v>
      </c>
    </row>
    <row r="348" spans="3:7" x14ac:dyDescent="0.35">
      <c r="D348" t="s">
        <v>843</v>
      </c>
      <c r="E348" s="53">
        <v>1</v>
      </c>
      <c r="F348" s="53">
        <v>330</v>
      </c>
      <c r="G348" s="53">
        <v>330</v>
      </c>
    </row>
    <row r="349" spans="3:7" x14ac:dyDescent="0.35">
      <c r="D349" t="s">
        <v>842</v>
      </c>
      <c r="E349" s="53">
        <v>1</v>
      </c>
      <c r="F349" s="53">
        <v>248</v>
      </c>
      <c r="G349" s="53">
        <v>248</v>
      </c>
    </row>
    <row r="350" spans="3:7" x14ac:dyDescent="0.35">
      <c r="C350" t="s">
        <v>891</v>
      </c>
      <c r="D350" t="s">
        <v>765</v>
      </c>
      <c r="E350" s="53">
        <v>1</v>
      </c>
      <c r="F350" s="53">
        <v>650</v>
      </c>
      <c r="G350" s="53">
        <v>650</v>
      </c>
    </row>
    <row r="351" spans="3:7" x14ac:dyDescent="0.35">
      <c r="D351" t="s">
        <v>856</v>
      </c>
      <c r="E351" s="53">
        <v>1</v>
      </c>
      <c r="F351" s="53">
        <v>120</v>
      </c>
      <c r="G351" s="53">
        <v>120</v>
      </c>
    </row>
    <row r="352" spans="3:7" x14ac:dyDescent="0.35">
      <c r="D352" t="s">
        <v>869</v>
      </c>
      <c r="E352" s="53">
        <v>1</v>
      </c>
      <c r="F352" s="53">
        <v>115</v>
      </c>
      <c r="G352" s="53">
        <v>115</v>
      </c>
    </row>
    <row r="353" spans="3:7" x14ac:dyDescent="0.35">
      <c r="C353" t="s">
        <v>916</v>
      </c>
      <c r="D353" t="s">
        <v>813</v>
      </c>
      <c r="E353" s="53">
        <v>20</v>
      </c>
      <c r="F353" s="53">
        <v>1848</v>
      </c>
      <c r="G353" s="53">
        <v>36960</v>
      </c>
    </row>
    <row r="354" spans="3:7" x14ac:dyDescent="0.35">
      <c r="C354" t="s">
        <v>918</v>
      </c>
      <c r="D354" t="s">
        <v>765</v>
      </c>
      <c r="E354" s="53">
        <v>4</v>
      </c>
      <c r="F354" s="53">
        <v>650</v>
      </c>
      <c r="G354" s="53">
        <v>2600</v>
      </c>
    </row>
    <row r="355" spans="3:7" x14ac:dyDescent="0.35">
      <c r="D355" t="s">
        <v>880</v>
      </c>
      <c r="E355" s="53">
        <v>40</v>
      </c>
      <c r="F355" s="53">
        <v>32.5</v>
      </c>
      <c r="G355" s="53">
        <v>1300</v>
      </c>
    </row>
    <row r="356" spans="3:7" x14ac:dyDescent="0.35">
      <c r="C356" t="s">
        <v>919</v>
      </c>
      <c r="D356" t="s">
        <v>729</v>
      </c>
      <c r="E356" s="53">
        <v>20</v>
      </c>
      <c r="F356" s="53">
        <v>276</v>
      </c>
      <c r="G356" s="53">
        <v>5520</v>
      </c>
    </row>
    <row r="357" spans="3:7" x14ac:dyDescent="0.35">
      <c r="C357" t="s">
        <v>924</v>
      </c>
      <c r="D357" t="s">
        <v>925</v>
      </c>
      <c r="E357" s="53">
        <v>15</v>
      </c>
      <c r="F357" s="53">
        <v>1848</v>
      </c>
      <c r="G357" s="53">
        <v>27720</v>
      </c>
    </row>
    <row r="358" spans="3:7" x14ac:dyDescent="0.35">
      <c r="C358" t="s">
        <v>923</v>
      </c>
      <c r="D358" t="s">
        <v>729</v>
      </c>
      <c r="E358" s="53">
        <v>20</v>
      </c>
      <c r="F358" s="53">
        <v>276</v>
      </c>
      <c r="G358" s="53">
        <v>5520</v>
      </c>
    </row>
    <row r="359" spans="3:7" x14ac:dyDescent="0.35">
      <c r="D359" t="s">
        <v>981</v>
      </c>
      <c r="E359" s="53">
        <v>3</v>
      </c>
      <c r="F359" s="53">
        <v>370</v>
      </c>
      <c r="G359" s="53">
        <v>1110</v>
      </c>
    </row>
    <row r="360" spans="3:7" x14ac:dyDescent="0.35">
      <c r="C360" t="s">
        <v>926</v>
      </c>
      <c r="D360" t="s">
        <v>813</v>
      </c>
      <c r="E360" s="53">
        <v>20</v>
      </c>
      <c r="F360" s="53">
        <v>1848</v>
      </c>
      <c r="G360" s="53">
        <v>36960</v>
      </c>
    </row>
    <row r="361" spans="3:7" x14ac:dyDescent="0.35">
      <c r="C361" t="s">
        <v>927</v>
      </c>
      <c r="D361" t="s">
        <v>928</v>
      </c>
      <c r="E361" s="53">
        <v>1</v>
      </c>
      <c r="F361" s="53">
        <v>258</v>
      </c>
      <c r="G361" s="53">
        <v>258</v>
      </c>
    </row>
    <row r="362" spans="3:7" x14ac:dyDescent="0.35">
      <c r="C362" t="s">
        <v>929</v>
      </c>
      <c r="D362" t="s">
        <v>729</v>
      </c>
      <c r="E362" s="53">
        <v>20</v>
      </c>
      <c r="F362" s="53">
        <v>273</v>
      </c>
      <c r="G362" s="53">
        <v>5460</v>
      </c>
    </row>
    <row r="363" spans="3:7" x14ac:dyDescent="0.35">
      <c r="C363" t="s">
        <v>1101</v>
      </c>
      <c r="D363" t="s">
        <v>979</v>
      </c>
      <c r="E363" s="53">
        <v>20</v>
      </c>
      <c r="F363" s="53">
        <v>1606</v>
      </c>
      <c r="G363" s="53">
        <v>32120</v>
      </c>
    </row>
    <row r="364" spans="3:7" x14ac:dyDescent="0.35">
      <c r="C364" t="s">
        <v>1102</v>
      </c>
      <c r="D364" t="s">
        <v>880</v>
      </c>
      <c r="E364" s="53">
        <v>30</v>
      </c>
      <c r="F364" s="53">
        <v>32.5</v>
      </c>
      <c r="G364" s="53">
        <v>975</v>
      </c>
    </row>
    <row r="365" spans="3:7" x14ac:dyDescent="0.35">
      <c r="D365" t="s">
        <v>1098</v>
      </c>
      <c r="E365" s="53">
        <v>18</v>
      </c>
      <c r="F365" s="53">
        <v>213</v>
      </c>
      <c r="G365" s="53">
        <v>3834</v>
      </c>
    </row>
    <row r="366" spans="3:7" x14ac:dyDescent="0.35">
      <c r="D366" t="s">
        <v>1150</v>
      </c>
      <c r="E366" s="53">
        <v>10</v>
      </c>
      <c r="F366" s="53">
        <v>206</v>
      </c>
      <c r="G366" s="53">
        <v>2060</v>
      </c>
    </row>
    <row r="367" spans="3:7" x14ac:dyDescent="0.35">
      <c r="C367" t="s">
        <v>1103</v>
      </c>
      <c r="D367" t="s">
        <v>791</v>
      </c>
      <c r="E367" s="53">
        <v>16</v>
      </c>
      <c r="F367" s="53">
        <v>383.4</v>
      </c>
      <c r="G367" s="53">
        <v>6134.4</v>
      </c>
    </row>
    <row r="368" spans="3:7" x14ac:dyDescent="0.35">
      <c r="D368" t="s">
        <v>1098</v>
      </c>
      <c r="E368" s="53">
        <v>16</v>
      </c>
      <c r="F368" s="53">
        <v>213</v>
      </c>
      <c r="G368" s="53">
        <v>3408</v>
      </c>
    </row>
    <row r="369" spans="3:7" x14ac:dyDescent="0.35">
      <c r="C369" t="s">
        <v>1104</v>
      </c>
      <c r="D369" t="s">
        <v>1049</v>
      </c>
      <c r="E369" s="53">
        <v>4</v>
      </c>
      <c r="F369" s="53">
        <v>30</v>
      </c>
      <c r="G369" s="53">
        <v>120</v>
      </c>
    </row>
    <row r="370" spans="3:7" x14ac:dyDescent="0.35">
      <c r="D370" t="s">
        <v>1105</v>
      </c>
      <c r="E370" s="53">
        <v>1</v>
      </c>
      <c r="F370" s="53">
        <v>225</v>
      </c>
      <c r="G370" s="53">
        <v>225</v>
      </c>
    </row>
    <row r="371" spans="3:7" x14ac:dyDescent="0.35">
      <c r="C371" t="s">
        <v>1109</v>
      </c>
      <c r="D371" t="s">
        <v>687</v>
      </c>
      <c r="E371" s="53">
        <v>1</v>
      </c>
      <c r="F371" s="53">
        <v>1606</v>
      </c>
      <c r="G371" s="53">
        <v>1606</v>
      </c>
    </row>
    <row r="372" spans="3:7" x14ac:dyDescent="0.35">
      <c r="C372" t="s">
        <v>1113</v>
      </c>
      <c r="D372" t="s">
        <v>791</v>
      </c>
      <c r="E372" s="53">
        <v>1</v>
      </c>
      <c r="F372" s="53">
        <v>383.4</v>
      </c>
      <c r="G372" s="53">
        <v>383.4</v>
      </c>
    </row>
    <row r="373" spans="3:7" x14ac:dyDescent="0.35">
      <c r="D373" t="s">
        <v>1114</v>
      </c>
      <c r="E373" s="53">
        <v>1</v>
      </c>
      <c r="F373" s="53">
        <v>166</v>
      </c>
      <c r="G373" s="53">
        <v>166</v>
      </c>
    </row>
    <row r="374" spans="3:7" x14ac:dyDescent="0.35">
      <c r="C374" t="s">
        <v>1117</v>
      </c>
      <c r="D374" t="s">
        <v>748</v>
      </c>
      <c r="E374" s="53">
        <v>1</v>
      </c>
      <c r="F374" s="53">
        <v>896.5</v>
      </c>
      <c r="G374" s="53">
        <v>896.5</v>
      </c>
    </row>
    <row r="375" spans="3:7" x14ac:dyDescent="0.35">
      <c r="D375" t="s">
        <v>856</v>
      </c>
      <c r="E375" s="53">
        <v>1</v>
      </c>
      <c r="F375" s="53">
        <v>120</v>
      </c>
      <c r="G375" s="53">
        <v>120</v>
      </c>
    </row>
    <row r="376" spans="3:7" x14ac:dyDescent="0.35">
      <c r="C376" t="s">
        <v>1118</v>
      </c>
      <c r="D376" t="s">
        <v>1098</v>
      </c>
      <c r="E376" s="53">
        <v>3</v>
      </c>
      <c r="F376" s="53">
        <v>213</v>
      </c>
      <c r="G376" s="53">
        <v>639</v>
      </c>
    </row>
    <row r="377" spans="3:7" x14ac:dyDescent="0.35">
      <c r="D377" t="s">
        <v>1115</v>
      </c>
      <c r="E377" s="53">
        <v>4</v>
      </c>
      <c r="F377" s="53">
        <v>186.75</v>
      </c>
      <c r="G377" s="53">
        <v>747</v>
      </c>
    </row>
    <row r="378" spans="3:7" x14ac:dyDescent="0.35">
      <c r="D378" t="s">
        <v>1116</v>
      </c>
      <c r="E378" s="53">
        <v>4</v>
      </c>
      <c r="F378" s="53">
        <v>348.75</v>
      </c>
      <c r="G378" s="53">
        <v>1395</v>
      </c>
    </row>
    <row r="379" spans="3:7" x14ac:dyDescent="0.35">
      <c r="C379" t="s">
        <v>1119</v>
      </c>
      <c r="D379" t="s">
        <v>748</v>
      </c>
      <c r="E379" s="53">
        <v>1</v>
      </c>
      <c r="F379" s="53">
        <v>896.5</v>
      </c>
      <c r="G379" s="53">
        <v>896.5</v>
      </c>
    </row>
    <row r="380" spans="3:7" x14ac:dyDescent="0.35">
      <c r="D380" t="s">
        <v>842</v>
      </c>
      <c r="E380" s="53">
        <v>6</v>
      </c>
      <c r="F380" s="53">
        <v>220</v>
      </c>
      <c r="G380" s="53">
        <v>1320</v>
      </c>
    </row>
    <row r="381" spans="3:7" x14ac:dyDescent="0.35">
      <c r="D381" t="s">
        <v>957</v>
      </c>
      <c r="E381" s="53">
        <v>12</v>
      </c>
      <c r="F381" s="53">
        <v>40</v>
      </c>
      <c r="G381" s="53">
        <v>480</v>
      </c>
    </row>
    <row r="382" spans="3:7" x14ac:dyDescent="0.35">
      <c r="D382" t="s">
        <v>958</v>
      </c>
      <c r="E382" s="53">
        <v>4</v>
      </c>
      <c r="F382" s="53">
        <v>115</v>
      </c>
      <c r="G382" s="53">
        <v>460</v>
      </c>
    </row>
    <row r="383" spans="3:7" x14ac:dyDescent="0.35">
      <c r="D383" t="s">
        <v>1131</v>
      </c>
      <c r="E383" s="53">
        <v>2</v>
      </c>
      <c r="F383" s="53">
        <v>378</v>
      </c>
      <c r="G383" s="53">
        <v>756</v>
      </c>
    </row>
    <row r="384" spans="3:7" x14ac:dyDescent="0.35">
      <c r="C384" t="s">
        <v>1195</v>
      </c>
      <c r="D384" t="s">
        <v>765</v>
      </c>
      <c r="E384" s="53">
        <v>4</v>
      </c>
      <c r="F384" s="53">
        <v>650</v>
      </c>
      <c r="G384" s="53">
        <v>2600</v>
      </c>
    </row>
    <row r="385" spans="1:7" x14ac:dyDescent="0.35">
      <c r="D385" t="s">
        <v>981</v>
      </c>
      <c r="E385" s="53">
        <v>3</v>
      </c>
      <c r="F385" s="53">
        <v>360</v>
      </c>
      <c r="G385" s="53">
        <v>1080</v>
      </c>
    </row>
    <row r="386" spans="1:7" x14ac:dyDescent="0.35">
      <c r="D386" t="s">
        <v>979</v>
      </c>
      <c r="E386" s="53">
        <v>5</v>
      </c>
      <c r="F386" s="53">
        <v>1606</v>
      </c>
      <c r="G386" s="53">
        <v>8030</v>
      </c>
    </row>
    <row r="387" spans="1:7" x14ac:dyDescent="0.35">
      <c r="D387" t="s">
        <v>1131</v>
      </c>
      <c r="E387" s="53">
        <v>10</v>
      </c>
      <c r="F387" s="53">
        <v>378</v>
      </c>
      <c r="G387" s="53">
        <v>3780</v>
      </c>
    </row>
    <row r="388" spans="1:7" x14ac:dyDescent="0.35">
      <c r="D388" t="s">
        <v>1149</v>
      </c>
      <c r="E388" s="53">
        <v>12</v>
      </c>
      <c r="F388" s="53">
        <v>68.400000000000006</v>
      </c>
      <c r="G388" s="53">
        <v>820.80000000000007</v>
      </c>
    </row>
    <row r="389" spans="1:7" x14ac:dyDescent="0.35">
      <c r="C389" t="s">
        <v>1196</v>
      </c>
      <c r="D389" t="s">
        <v>1170</v>
      </c>
      <c r="E389" s="53">
        <v>1</v>
      </c>
      <c r="F389" s="53">
        <v>220</v>
      </c>
      <c r="G389" s="53">
        <v>220</v>
      </c>
    </row>
    <row r="390" spans="1:7" x14ac:dyDescent="0.35">
      <c r="C390" t="s">
        <v>1197</v>
      </c>
      <c r="D390" t="s">
        <v>1147</v>
      </c>
      <c r="E390" s="53">
        <v>2</v>
      </c>
      <c r="F390" s="53">
        <v>166</v>
      </c>
      <c r="G390" s="53">
        <v>332</v>
      </c>
    </row>
    <row r="391" spans="1:7" x14ac:dyDescent="0.35">
      <c r="B391" s="55" t="s">
        <v>694</v>
      </c>
      <c r="C391" s="55"/>
      <c r="D391" s="55"/>
      <c r="E391" s="56">
        <v>997</v>
      </c>
      <c r="F391" s="56">
        <v>83232.449999999983</v>
      </c>
      <c r="G391" s="56">
        <v>629737.65000000014</v>
      </c>
    </row>
    <row r="392" spans="1:7" x14ac:dyDescent="0.35">
      <c r="B392" t="s">
        <v>1185</v>
      </c>
      <c r="C392" t="s">
        <v>335</v>
      </c>
      <c r="D392" t="s">
        <v>1186</v>
      </c>
      <c r="E392" s="53">
        <v>1</v>
      </c>
      <c r="F392" s="53">
        <v>320</v>
      </c>
      <c r="G392" s="53">
        <v>320</v>
      </c>
    </row>
    <row r="393" spans="1:7" x14ac:dyDescent="0.35">
      <c r="B393" s="55" t="s">
        <v>1194</v>
      </c>
      <c r="C393" s="55"/>
      <c r="D393" s="55"/>
      <c r="E393" s="56">
        <v>1</v>
      </c>
      <c r="F393" s="56">
        <v>320</v>
      </c>
      <c r="G393" s="56">
        <v>320</v>
      </c>
    </row>
    <row r="394" spans="1:7" x14ac:dyDescent="0.35">
      <c r="A394" s="91" t="s">
        <v>670</v>
      </c>
      <c r="B394" s="91"/>
      <c r="C394" s="91"/>
      <c r="D394" s="91"/>
      <c r="E394" s="92">
        <v>2362</v>
      </c>
      <c r="F394" s="92">
        <v>144290.84999999998</v>
      </c>
      <c r="G394" s="92">
        <v>1195523.1499999999</v>
      </c>
    </row>
    <row r="395" spans="1:7" x14ac:dyDescent="0.35">
      <c r="A395" s="52" t="s">
        <v>181</v>
      </c>
      <c r="B395" s="52"/>
      <c r="C395" s="52"/>
      <c r="D395" s="52"/>
      <c r="E395" s="54">
        <v>4077</v>
      </c>
      <c r="F395" s="54">
        <v>258650.03999999992</v>
      </c>
      <c r="G395" s="54">
        <v>1955806.3499999999</v>
      </c>
    </row>
  </sheetData>
  <pageMargins left="0.39370078740157483" right="0.19685039370078741" top="0.39370078740157483" bottom="0.39370078740157483" header="0.31496062992125984" footer="0.31496062992125984"/>
  <pageSetup scale="75"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dvAspect="DVASPECT_ICON" shapeId="4097" r:id="rId5">
          <objectPr defaultSize="0" autoPict="0" r:id="rId6">
            <anchor moveWithCells="1">
              <from>
                <xdr:col>8</xdr:col>
                <xdr:colOff>260350</xdr:colOff>
                <xdr:row>9</xdr:row>
                <xdr:rowOff>12700</xdr:rowOff>
              </from>
              <to>
                <xdr:col>8</xdr:col>
                <xdr:colOff>488950</xdr:colOff>
                <xdr:row>10</xdr:row>
                <xdr:rowOff>0</xdr:rowOff>
              </to>
            </anchor>
          </objectPr>
        </oleObject>
      </mc:Choice>
      <mc:Fallback>
        <oleObject progId="Packager Shell Object" dvAspect="DVASPECT_ICON" shapeId="4097" r:id="rId5"/>
      </mc:Fallback>
    </mc:AlternateContent>
    <mc:AlternateContent xmlns:mc="http://schemas.openxmlformats.org/markup-compatibility/2006">
      <mc:Choice Requires="x14">
        <oleObject progId="Packager Shell Object" dvAspect="DVASPECT_ICON" shapeId="4098" r:id="rId7">
          <objectPr defaultSize="0" autoPict="0" r:id="rId8">
            <anchor moveWithCells="1">
              <from>
                <xdr:col>8</xdr:col>
                <xdr:colOff>285750</xdr:colOff>
                <xdr:row>15</xdr:row>
                <xdr:rowOff>152400</xdr:rowOff>
              </from>
              <to>
                <xdr:col>8</xdr:col>
                <xdr:colOff>539750</xdr:colOff>
                <xdr:row>16</xdr:row>
                <xdr:rowOff>158750</xdr:rowOff>
              </to>
            </anchor>
          </objectPr>
        </oleObject>
      </mc:Choice>
      <mc:Fallback>
        <oleObject progId="Packager Shell Object" dvAspect="DVASPECT_ICON" shapeId="4098" r:id="rId7"/>
      </mc:Fallback>
    </mc:AlternateContent>
    <mc:AlternateContent xmlns:mc="http://schemas.openxmlformats.org/markup-compatibility/2006">
      <mc:Choice Requires="x14">
        <oleObject progId="Packager Shell Object" dvAspect="DVASPECT_ICON" shapeId="4099" r:id="rId9">
          <objectPr defaultSize="0" autoPict="0" r:id="rId10">
            <anchor moveWithCells="1">
              <from>
                <xdr:col>8</xdr:col>
                <xdr:colOff>323850</xdr:colOff>
                <xdr:row>26</xdr:row>
                <xdr:rowOff>0</xdr:rowOff>
              </from>
              <to>
                <xdr:col>8</xdr:col>
                <xdr:colOff>558800</xdr:colOff>
                <xdr:row>26</xdr:row>
                <xdr:rowOff>177800</xdr:rowOff>
              </to>
            </anchor>
          </objectPr>
        </oleObject>
      </mc:Choice>
      <mc:Fallback>
        <oleObject progId="Packager Shell Object" dvAspect="DVASPECT_ICON" shapeId="4099" r:id="rId9"/>
      </mc:Fallback>
    </mc:AlternateContent>
    <mc:AlternateContent xmlns:mc="http://schemas.openxmlformats.org/markup-compatibility/2006">
      <mc:Choice Requires="x14">
        <oleObject progId="Packager Shell Object" dvAspect="DVASPECT_ICON" shapeId="4100" r:id="rId11">
          <objectPr defaultSize="0" autoPict="0" r:id="rId12">
            <anchor moveWithCells="1">
              <from>
                <xdr:col>8</xdr:col>
                <xdr:colOff>330200</xdr:colOff>
                <xdr:row>29</xdr:row>
                <xdr:rowOff>0</xdr:rowOff>
              </from>
              <to>
                <xdr:col>8</xdr:col>
                <xdr:colOff>584200</xdr:colOff>
                <xdr:row>30</xdr:row>
                <xdr:rowOff>6350</xdr:rowOff>
              </to>
            </anchor>
          </objectPr>
        </oleObject>
      </mc:Choice>
      <mc:Fallback>
        <oleObject progId="Packager Shell Object" dvAspect="DVASPECT_ICON" shapeId="4100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7D585-F3C3-4A15-8C08-3C66737B1FB2}">
  <dimension ref="A1:O339"/>
  <sheetViews>
    <sheetView topLeftCell="C123" zoomScaleNormal="100" workbookViewId="0">
      <selection activeCell="O148" sqref="O148"/>
    </sheetView>
  </sheetViews>
  <sheetFormatPr defaultRowHeight="14.5" x14ac:dyDescent="0.35"/>
  <cols>
    <col min="1" max="1" width="9.26953125" customWidth="1"/>
    <col min="2" max="2" width="43.1796875" bestFit="1" customWidth="1"/>
    <col min="3" max="3" width="15.08984375" bestFit="1" customWidth="1"/>
    <col min="4" max="4" width="16.36328125" bestFit="1" customWidth="1"/>
    <col min="5" max="5" width="18.7265625" bestFit="1" customWidth="1"/>
    <col min="6" max="11" width="2.6328125" customWidth="1"/>
    <col min="12" max="12" width="43.1796875" bestFit="1" customWidth="1"/>
    <col min="13" max="13" width="15.08984375" bestFit="1" customWidth="1"/>
    <col min="14" max="14" width="16.36328125" bestFit="1" customWidth="1"/>
    <col min="15" max="15" width="18.7265625" bestFit="1" customWidth="1"/>
    <col min="17" max="18" width="8.7265625" customWidth="1"/>
    <col min="21" max="21" width="8.7265625" customWidth="1"/>
  </cols>
  <sheetData>
    <row r="1" spans="1:15" x14ac:dyDescent="0.35">
      <c r="L1" s="63"/>
    </row>
    <row r="3" spans="1:15" x14ac:dyDescent="0.35">
      <c r="C3" s="33" t="s">
        <v>190</v>
      </c>
      <c r="M3" s="33" t="s">
        <v>190</v>
      </c>
    </row>
    <row r="4" spans="1:15" x14ac:dyDescent="0.35">
      <c r="A4" s="33" t="s">
        <v>112</v>
      </c>
      <c r="B4" s="33" t="s">
        <v>178</v>
      </c>
      <c r="C4" t="s">
        <v>191</v>
      </c>
      <c r="D4" t="s">
        <v>192</v>
      </c>
      <c r="E4" t="s">
        <v>189</v>
      </c>
      <c r="L4" s="33" t="s">
        <v>178</v>
      </c>
      <c r="M4" t="s">
        <v>191</v>
      </c>
      <c r="N4" t="s">
        <v>192</v>
      </c>
      <c r="O4" t="s">
        <v>189</v>
      </c>
    </row>
    <row r="5" spans="1:15" x14ac:dyDescent="0.35">
      <c r="A5">
        <v>3</v>
      </c>
      <c r="B5" t="s">
        <v>19</v>
      </c>
      <c r="C5">
        <v>16</v>
      </c>
      <c r="D5">
        <v>16</v>
      </c>
      <c r="E5">
        <v>0</v>
      </c>
      <c r="L5" t="s">
        <v>134</v>
      </c>
      <c r="M5">
        <v>2</v>
      </c>
      <c r="N5">
        <v>2</v>
      </c>
      <c r="O5">
        <v>0</v>
      </c>
    </row>
    <row r="6" spans="1:15" x14ac:dyDescent="0.35">
      <c r="B6" t="s">
        <v>180</v>
      </c>
      <c r="C6">
        <v>36</v>
      </c>
      <c r="D6">
        <v>36</v>
      </c>
      <c r="E6">
        <v>0</v>
      </c>
      <c r="L6" t="s">
        <v>63</v>
      </c>
      <c r="M6">
        <v>2</v>
      </c>
      <c r="N6">
        <v>2</v>
      </c>
      <c r="O6">
        <v>0</v>
      </c>
    </row>
    <row r="7" spans="1:15" x14ac:dyDescent="0.35">
      <c r="B7" t="s">
        <v>16</v>
      </c>
      <c r="C7">
        <v>5</v>
      </c>
      <c r="D7">
        <v>5</v>
      </c>
      <c r="E7">
        <v>0</v>
      </c>
      <c r="L7" t="s">
        <v>19</v>
      </c>
      <c r="M7">
        <v>252</v>
      </c>
      <c r="N7">
        <v>232</v>
      </c>
      <c r="O7">
        <v>20</v>
      </c>
    </row>
    <row r="8" spans="1:15" x14ac:dyDescent="0.35">
      <c r="B8" t="s">
        <v>29</v>
      </c>
      <c r="C8">
        <v>10</v>
      </c>
      <c r="D8">
        <v>10</v>
      </c>
      <c r="E8">
        <v>0</v>
      </c>
      <c r="L8" t="s">
        <v>179</v>
      </c>
      <c r="M8">
        <v>4</v>
      </c>
      <c r="N8">
        <v>4</v>
      </c>
      <c r="O8">
        <v>0</v>
      </c>
    </row>
    <row r="9" spans="1:15" x14ac:dyDescent="0.35">
      <c r="B9" t="s">
        <v>64</v>
      </c>
      <c r="C9">
        <v>10</v>
      </c>
      <c r="D9">
        <v>10</v>
      </c>
      <c r="E9">
        <v>0</v>
      </c>
      <c r="L9" t="s">
        <v>180</v>
      </c>
      <c r="M9">
        <v>61</v>
      </c>
      <c r="N9">
        <v>61</v>
      </c>
      <c r="O9">
        <v>0</v>
      </c>
    </row>
    <row r="10" spans="1:15" x14ac:dyDescent="0.35">
      <c r="B10" t="s">
        <v>28</v>
      </c>
      <c r="C10">
        <v>40</v>
      </c>
      <c r="D10">
        <v>40</v>
      </c>
      <c r="E10">
        <v>0</v>
      </c>
      <c r="L10" t="s">
        <v>176</v>
      </c>
      <c r="M10">
        <v>56</v>
      </c>
      <c r="N10">
        <v>56</v>
      </c>
      <c r="O10">
        <v>0</v>
      </c>
    </row>
    <row r="11" spans="1:15" x14ac:dyDescent="0.35">
      <c r="B11" t="s">
        <v>194</v>
      </c>
      <c r="C11">
        <v>5</v>
      </c>
      <c r="D11">
        <v>5</v>
      </c>
      <c r="E11">
        <v>0</v>
      </c>
      <c r="L11" t="s">
        <v>177</v>
      </c>
      <c r="M11">
        <v>42</v>
      </c>
      <c r="N11">
        <v>42</v>
      </c>
      <c r="O11">
        <v>0</v>
      </c>
    </row>
    <row r="12" spans="1:15" x14ac:dyDescent="0.35">
      <c r="B12" t="s">
        <v>229</v>
      </c>
      <c r="C12">
        <v>2</v>
      </c>
      <c r="D12">
        <v>2</v>
      </c>
      <c r="E12">
        <v>0</v>
      </c>
      <c r="L12" t="s">
        <v>16</v>
      </c>
      <c r="M12">
        <v>96</v>
      </c>
      <c r="N12">
        <v>96</v>
      </c>
      <c r="O12">
        <v>0</v>
      </c>
    </row>
    <row r="13" spans="1:15" x14ac:dyDescent="0.35">
      <c r="B13" t="s">
        <v>318</v>
      </c>
      <c r="C13">
        <v>20</v>
      </c>
      <c r="D13">
        <v>20</v>
      </c>
      <c r="E13">
        <v>0</v>
      </c>
      <c r="L13" t="s">
        <v>55</v>
      </c>
      <c r="M13">
        <v>4</v>
      </c>
      <c r="N13">
        <v>4</v>
      </c>
      <c r="O13">
        <v>0</v>
      </c>
    </row>
    <row r="14" spans="1:15" x14ac:dyDescent="0.35">
      <c r="B14" t="s">
        <v>313</v>
      </c>
      <c r="C14">
        <v>2</v>
      </c>
      <c r="D14">
        <v>2</v>
      </c>
      <c r="E14">
        <v>0</v>
      </c>
      <c r="L14" t="s">
        <v>17</v>
      </c>
      <c r="M14">
        <v>14</v>
      </c>
      <c r="N14">
        <v>14</v>
      </c>
      <c r="O14">
        <v>0</v>
      </c>
    </row>
    <row r="15" spans="1:15" x14ac:dyDescent="0.35">
      <c r="B15" t="s">
        <v>314</v>
      </c>
      <c r="C15">
        <v>2</v>
      </c>
      <c r="D15">
        <v>2</v>
      </c>
      <c r="E15">
        <v>0</v>
      </c>
      <c r="L15" t="s">
        <v>31</v>
      </c>
      <c r="M15">
        <v>13</v>
      </c>
      <c r="N15">
        <v>13</v>
      </c>
      <c r="O15">
        <v>0</v>
      </c>
    </row>
    <row r="16" spans="1:15" x14ac:dyDescent="0.35">
      <c r="B16" t="s">
        <v>334</v>
      </c>
      <c r="C16">
        <v>2</v>
      </c>
      <c r="D16">
        <v>2</v>
      </c>
      <c r="E16">
        <v>0</v>
      </c>
      <c r="L16" t="s">
        <v>29</v>
      </c>
      <c r="M16">
        <v>210</v>
      </c>
      <c r="N16">
        <v>210</v>
      </c>
      <c r="O16">
        <v>0</v>
      </c>
    </row>
    <row r="17" spans="1:15" x14ac:dyDescent="0.35">
      <c r="B17" t="s">
        <v>405</v>
      </c>
      <c r="C17">
        <v>8</v>
      </c>
      <c r="D17">
        <v>8</v>
      </c>
      <c r="E17">
        <v>0</v>
      </c>
      <c r="L17" t="s">
        <v>153</v>
      </c>
      <c r="M17">
        <v>1</v>
      </c>
      <c r="N17">
        <v>1</v>
      </c>
      <c r="O17">
        <v>0</v>
      </c>
    </row>
    <row r="18" spans="1:15" x14ac:dyDescent="0.35">
      <c r="B18" t="s">
        <v>643</v>
      </c>
      <c r="C18">
        <v>8</v>
      </c>
      <c r="D18">
        <v>8</v>
      </c>
      <c r="E18">
        <v>0</v>
      </c>
      <c r="L18" t="s">
        <v>139</v>
      </c>
      <c r="M18">
        <v>1</v>
      </c>
      <c r="N18">
        <v>1</v>
      </c>
      <c r="O18">
        <v>0</v>
      </c>
    </row>
    <row r="19" spans="1:15" x14ac:dyDescent="0.35">
      <c r="B19" t="s">
        <v>687</v>
      </c>
      <c r="C19">
        <v>1</v>
      </c>
      <c r="D19">
        <v>1</v>
      </c>
      <c r="E19">
        <v>0</v>
      </c>
      <c r="L19" t="s">
        <v>64</v>
      </c>
      <c r="M19">
        <v>132</v>
      </c>
      <c r="N19">
        <v>132</v>
      </c>
      <c r="O19">
        <v>0</v>
      </c>
    </row>
    <row r="20" spans="1:15" x14ac:dyDescent="0.35">
      <c r="B20" t="s">
        <v>719</v>
      </c>
      <c r="C20">
        <v>1</v>
      </c>
      <c r="D20">
        <v>1</v>
      </c>
      <c r="E20">
        <v>0</v>
      </c>
      <c r="L20" t="s">
        <v>15</v>
      </c>
      <c r="M20">
        <v>3</v>
      </c>
      <c r="N20">
        <v>3</v>
      </c>
      <c r="O20">
        <v>0</v>
      </c>
    </row>
    <row r="21" spans="1:15" x14ac:dyDescent="0.35">
      <c r="B21" t="s">
        <v>720</v>
      </c>
      <c r="C21">
        <v>2</v>
      </c>
      <c r="D21">
        <v>2</v>
      </c>
      <c r="E21">
        <v>0</v>
      </c>
      <c r="L21" t="s">
        <v>14</v>
      </c>
      <c r="M21">
        <v>7</v>
      </c>
      <c r="N21">
        <v>7</v>
      </c>
      <c r="O21">
        <v>0</v>
      </c>
    </row>
    <row r="22" spans="1:15" x14ac:dyDescent="0.35">
      <c r="B22" t="s">
        <v>718</v>
      </c>
      <c r="C22">
        <v>4</v>
      </c>
      <c r="D22">
        <v>4</v>
      </c>
      <c r="E22">
        <v>0</v>
      </c>
      <c r="L22" t="s">
        <v>28</v>
      </c>
      <c r="M22">
        <v>582</v>
      </c>
      <c r="N22">
        <v>582</v>
      </c>
      <c r="O22">
        <v>0</v>
      </c>
    </row>
    <row r="23" spans="1:15" x14ac:dyDescent="0.35">
      <c r="B23" t="s">
        <v>729</v>
      </c>
      <c r="C23">
        <v>44</v>
      </c>
      <c r="D23">
        <v>44</v>
      </c>
      <c r="E23">
        <v>0</v>
      </c>
      <c r="L23" t="s">
        <v>21</v>
      </c>
      <c r="M23">
        <v>1</v>
      </c>
      <c r="N23">
        <v>1</v>
      </c>
      <c r="O23">
        <v>0</v>
      </c>
    </row>
    <row r="24" spans="1:15" x14ac:dyDescent="0.35">
      <c r="B24" t="s">
        <v>728</v>
      </c>
      <c r="C24">
        <v>10</v>
      </c>
      <c r="D24">
        <v>10</v>
      </c>
      <c r="E24">
        <v>0</v>
      </c>
      <c r="L24" t="s">
        <v>37</v>
      </c>
      <c r="M24">
        <v>19</v>
      </c>
      <c r="N24">
        <v>19</v>
      </c>
      <c r="O24">
        <v>0</v>
      </c>
    </row>
    <row r="25" spans="1:15" x14ac:dyDescent="0.35">
      <c r="B25" t="s">
        <v>744</v>
      </c>
      <c r="C25">
        <v>19</v>
      </c>
      <c r="D25">
        <v>19</v>
      </c>
      <c r="E25">
        <v>0</v>
      </c>
      <c r="L25" t="s">
        <v>33</v>
      </c>
      <c r="M25">
        <v>2</v>
      </c>
      <c r="N25">
        <v>2</v>
      </c>
      <c r="O25">
        <v>0</v>
      </c>
    </row>
    <row r="26" spans="1:15" x14ac:dyDescent="0.35">
      <c r="B26" t="s">
        <v>745</v>
      </c>
      <c r="C26">
        <v>1</v>
      </c>
      <c r="D26">
        <v>1</v>
      </c>
      <c r="E26">
        <v>0</v>
      </c>
      <c r="L26" t="s">
        <v>194</v>
      </c>
      <c r="M26">
        <v>77</v>
      </c>
      <c r="N26">
        <v>77</v>
      </c>
      <c r="O26">
        <v>0</v>
      </c>
    </row>
    <row r="27" spans="1:15" x14ac:dyDescent="0.35">
      <c r="B27" t="s">
        <v>748</v>
      </c>
      <c r="C27">
        <v>1</v>
      </c>
      <c r="D27">
        <v>1</v>
      </c>
      <c r="E27">
        <v>0</v>
      </c>
      <c r="L27" t="s">
        <v>196</v>
      </c>
      <c r="M27">
        <v>3</v>
      </c>
      <c r="N27">
        <v>3</v>
      </c>
      <c r="O27">
        <v>0</v>
      </c>
    </row>
    <row r="28" spans="1:15" x14ac:dyDescent="0.35">
      <c r="B28" t="s">
        <v>763</v>
      </c>
      <c r="C28">
        <v>24</v>
      </c>
      <c r="D28">
        <v>24</v>
      </c>
      <c r="E28">
        <v>0</v>
      </c>
      <c r="L28" t="s">
        <v>236</v>
      </c>
      <c r="M28">
        <v>4</v>
      </c>
      <c r="N28">
        <v>4</v>
      </c>
      <c r="O28">
        <v>0</v>
      </c>
    </row>
    <row r="29" spans="1:15" x14ac:dyDescent="0.35">
      <c r="B29" t="s">
        <v>765</v>
      </c>
      <c r="C29">
        <v>1</v>
      </c>
      <c r="D29">
        <v>1</v>
      </c>
      <c r="E29">
        <v>0</v>
      </c>
      <c r="L29" t="s">
        <v>213</v>
      </c>
      <c r="M29">
        <v>2</v>
      </c>
      <c r="N29">
        <v>2</v>
      </c>
      <c r="O29">
        <v>0</v>
      </c>
    </row>
    <row r="30" spans="1:15" x14ac:dyDescent="0.35">
      <c r="A30" s="34" t="s">
        <v>186</v>
      </c>
      <c r="B30" s="34"/>
      <c r="C30" s="34">
        <v>274</v>
      </c>
      <c r="D30" s="34">
        <v>274</v>
      </c>
      <c r="E30" s="34">
        <v>0</v>
      </c>
      <c r="L30" t="s">
        <v>214</v>
      </c>
      <c r="M30">
        <v>2</v>
      </c>
      <c r="N30">
        <v>2</v>
      </c>
      <c r="O30">
        <v>0</v>
      </c>
    </row>
    <row r="31" spans="1:15" x14ac:dyDescent="0.35">
      <c r="A31">
        <v>6</v>
      </c>
      <c r="B31" t="s">
        <v>19</v>
      </c>
      <c r="C31">
        <v>12</v>
      </c>
      <c r="D31">
        <v>12</v>
      </c>
      <c r="E31">
        <v>0</v>
      </c>
      <c r="L31" t="s">
        <v>229</v>
      </c>
      <c r="M31">
        <v>7</v>
      </c>
      <c r="N31">
        <v>7</v>
      </c>
      <c r="O31">
        <v>0</v>
      </c>
    </row>
    <row r="32" spans="1:15" x14ac:dyDescent="0.35">
      <c r="B32" t="s">
        <v>177</v>
      </c>
      <c r="C32">
        <v>16</v>
      </c>
      <c r="D32">
        <v>16</v>
      </c>
      <c r="E32">
        <v>0</v>
      </c>
      <c r="L32" t="s">
        <v>234</v>
      </c>
      <c r="M32">
        <v>2</v>
      </c>
      <c r="N32">
        <v>2</v>
      </c>
      <c r="O32">
        <v>0</v>
      </c>
    </row>
    <row r="33" spans="1:15" x14ac:dyDescent="0.35">
      <c r="B33" t="s">
        <v>17</v>
      </c>
      <c r="C33">
        <v>2</v>
      </c>
      <c r="D33">
        <v>2</v>
      </c>
      <c r="E33">
        <v>0</v>
      </c>
      <c r="L33" t="s">
        <v>231</v>
      </c>
      <c r="M33">
        <v>1</v>
      </c>
      <c r="N33">
        <v>1</v>
      </c>
      <c r="O33">
        <v>0</v>
      </c>
    </row>
    <row r="34" spans="1:15" x14ac:dyDescent="0.35">
      <c r="B34" t="s">
        <v>15</v>
      </c>
      <c r="C34">
        <v>1</v>
      </c>
      <c r="D34">
        <v>1</v>
      </c>
      <c r="E34">
        <v>0</v>
      </c>
      <c r="L34" t="s">
        <v>232</v>
      </c>
      <c r="M34">
        <v>3</v>
      </c>
      <c r="N34">
        <v>3</v>
      </c>
      <c r="O34">
        <v>0</v>
      </c>
    </row>
    <row r="35" spans="1:15" x14ac:dyDescent="0.35">
      <c r="B35" t="s">
        <v>28</v>
      </c>
      <c r="C35">
        <v>40</v>
      </c>
      <c r="D35">
        <v>40</v>
      </c>
      <c r="E35">
        <v>0</v>
      </c>
      <c r="L35" t="s">
        <v>233</v>
      </c>
      <c r="M35">
        <v>17</v>
      </c>
      <c r="N35">
        <v>17</v>
      </c>
      <c r="O35">
        <v>0</v>
      </c>
    </row>
    <row r="36" spans="1:15" x14ac:dyDescent="0.35">
      <c r="B36" t="s">
        <v>21</v>
      </c>
      <c r="C36">
        <v>1</v>
      </c>
      <c r="D36">
        <v>1</v>
      </c>
      <c r="E36">
        <v>0</v>
      </c>
      <c r="L36" t="s">
        <v>239</v>
      </c>
      <c r="M36">
        <v>16</v>
      </c>
      <c r="N36">
        <v>11</v>
      </c>
      <c r="O36">
        <v>5</v>
      </c>
    </row>
    <row r="37" spans="1:15" x14ac:dyDescent="0.35">
      <c r="B37" t="s">
        <v>675</v>
      </c>
      <c r="C37">
        <v>2</v>
      </c>
      <c r="D37">
        <v>2</v>
      </c>
      <c r="E37">
        <v>0</v>
      </c>
      <c r="L37" t="s">
        <v>238</v>
      </c>
      <c r="M37">
        <v>1</v>
      </c>
      <c r="N37">
        <v>1</v>
      </c>
      <c r="O37">
        <v>0</v>
      </c>
    </row>
    <row r="38" spans="1:15" x14ac:dyDescent="0.35">
      <c r="B38" t="s">
        <v>729</v>
      </c>
      <c r="C38">
        <v>60</v>
      </c>
      <c r="D38">
        <v>60</v>
      </c>
      <c r="E38">
        <v>0</v>
      </c>
      <c r="L38" t="s">
        <v>245</v>
      </c>
      <c r="M38">
        <v>52</v>
      </c>
      <c r="N38">
        <v>52</v>
      </c>
      <c r="O38">
        <v>0</v>
      </c>
    </row>
    <row r="39" spans="1:15" x14ac:dyDescent="0.35">
      <c r="B39" t="s">
        <v>813</v>
      </c>
      <c r="C39">
        <v>20</v>
      </c>
      <c r="D39">
        <v>20</v>
      </c>
      <c r="E39">
        <v>0</v>
      </c>
      <c r="L39" t="s">
        <v>265</v>
      </c>
      <c r="M39">
        <v>3</v>
      </c>
      <c r="N39">
        <v>3</v>
      </c>
      <c r="O39">
        <v>0</v>
      </c>
    </row>
    <row r="40" spans="1:15" x14ac:dyDescent="0.35">
      <c r="B40" t="s">
        <v>816</v>
      </c>
      <c r="C40">
        <v>10</v>
      </c>
      <c r="D40">
        <v>10</v>
      </c>
      <c r="E40">
        <v>0</v>
      </c>
      <c r="L40" t="s">
        <v>254</v>
      </c>
      <c r="M40">
        <v>2</v>
      </c>
      <c r="N40">
        <v>2</v>
      </c>
      <c r="O40">
        <v>0</v>
      </c>
    </row>
    <row r="41" spans="1:15" x14ac:dyDescent="0.35">
      <c r="B41" t="s">
        <v>900</v>
      </c>
      <c r="C41">
        <v>20</v>
      </c>
      <c r="D41">
        <v>20</v>
      </c>
      <c r="E41">
        <v>0</v>
      </c>
      <c r="L41" t="s">
        <v>270</v>
      </c>
      <c r="M41">
        <v>3</v>
      </c>
      <c r="N41">
        <v>3</v>
      </c>
      <c r="O41">
        <v>0</v>
      </c>
    </row>
    <row r="42" spans="1:15" x14ac:dyDescent="0.35">
      <c r="B42" t="s">
        <v>928</v>
      </c>
      <c r="C42">
        <v>1</v>
      </c>
      <c r="D42">
        <v>1</v>
      </c>
      <c r="E42">
        <v>0</v>
      </c>
      <c r="L42" t="s">
        <v>318</v>
      </c>
      <c r="M42">
        <v>20</v>
      </c>
      <c r="N42">
        <v>20</v>
      </c>
      <c r="O42">
        <v>0</v>
      </c>
    </row>
    <row r="43" spans="1:15" x14ac:dyDescent="0.35">
      <c r="B43" t="s">
        <v>981</v>
      </c>
      <c r="C43">
        <v>3</v>
      </c>
      <c r="D43">
        <v>3</v>
      </c>
      <c r="E43">
        <v>0</v>
      </c>
      <c r="L43" t="s">
        <v>313</v>
      </c>
      <c r="M43">
        <v>2</v>
      </c>
      <c r="N43">
        <v>2</v>
      </c>
      <c r="O43">
        <v>0</v>
      </c>
    </row>
    <row r="44" spans="1:15" x14ac:dyDescent="0.35">
      <c r="A44" s="34" t="s">
        <v>182</v>
      </c>
      <c r="B44" s="34"/>
      <c r="C44" s="34">
        <v>188</v>
      </c>
      <c r="D44" s="34">
        <v>188</v>
      </c>
      <c r="E44" s="34">
        <v>0</v>
      </c>
      <c r="L44" t="s">
        <v>314</v>
      </c>
      <c r="M44">
        <v>2</v>
      </c>
      <c r="N44">
        <v>2</v>
      </c>
      <c r="O44">
        <v>0</v>
      </c>
    </row>
    <row r="45" spans="1:15" x14ac:dyDescent="0.35">
      <c r="A45">
        <v>7</v>
      </c>
      <c r="B45" t="s">
        <v>19</v>
      </c>
      <c r="C45">
        <v>20</v>
      </c>
      <c r="D45">
        <v>20</v>
      </c>
      <c r="E45">
        <v>0</v>
      </c>
      <c r="L45" t="s">
        <v>334</v>
      </c>
      <c r="M45">
        <v>2</v>
      </c>
      <c r="N45">
        <v>2</v>
      </c>
      <c r="O45">
        <v>0</v>
      </c>
    </row>
    <row r="46" spans="1:15" x14ac:dyDescent="0.35">
      <c r="B46" t="s">
        <v>176</v>
      </c>
      <c r="C46">
        <v>20</v>
      </c>
      <c r="D46">
        <v>20</v>
      </c>
      <c r="E46">
        <v>0</v>
      </c>
      <c r="L46" t="s">
        <v>356</v>
      </c>
      <c r="M46">
        <v>14</v>
      </c>
      <c r="N46">
        <v>14</v>
      </c>
      <c r="O46">
        <v>0</v>
      </c>
    </row>
    <row r="47" spans="1:15" x14ac:dyDescent="0.35">
      <c r="B47" t="s">
        <v>16</v>
      </c>
      <c r="C47">
        <v>10</v>
      </c>
      <c r="D47">
        <v>10</v>
      </c>
      <c r="E47">
        <v>0</v>
      </c>
      <c r="L47" t="s">
        <v>357</v>
      </c>
      <c r="M47">
        <v>3</v>
      </c>
      <c r="N47">
        <v>3</v>
      </c>
      <c r="O47">
        <v>0</v>
      </c>
    </row>
    <row r="48" spans="1:15" x14ac:dyDescent="0.35">
      <c r="B48" t="s">
        <v>31</v>
      </c>
      <c r="C48">
        <v>2</v>
      </c>
      <c r="D48">
        <v>2</v>
      </c>
      <c r="E48">
        <v>0</v>
      </c>
      <c r="L48" t="s">
        <v>358</v>
      </c>
      <c r="M48">
        <v>6</v>
      </c>
      <c r="N48">
        <v>6</v>
      </c>
      <c r="O48">
        <v>0</v>
      </c>
    </row>
    <row r="49" spans="2:15" x14ac:dyDescent="0.35">
      <c r="B49" t="s">
        <v>29</v>
      </c>
      <c r="C49">
        <v>12</v>
      </c>
      <c r="D49">
        <v>12</v>
      </c>
      <c r="E49">
        <v>0</v>
      </c>
      <c r="L49" t="s">
        <v>365</v>
      </c>
      <c r="M49">
        <v>2</v>
      </c>
      <c r="N49">
        <v>2</v>
      </c>
      <c r="O49">
        <v>0</v>
      </c>
    </row>
    <row r="50" spans="2:15" x14ac:dyDescent="0.35">
      <c r="B50" t="s">
        <v>15</v>
      </c>
      <c r="C50">
        <v>1</v>
      </c>
      <c r="D50">
        <v>1</v>
      </c>
      <c r="E50">
        <v>0</v>
      </c>
      <c r="L50" t="s">
        <v>373</v>
      </c>
      <c r="M50">
        <v>1</v>
      </c>
      <c r="N50">
        <v>1</v>
      </c>
      <c r="O50">
        <v>0</v>
      </c>
    </row>
    <row r="51" spans="2:15" x14ac:dyDescent="0.35">
      <c r="B51" t="s">
        <v>14</v>
      </c>
      <c r="C51">
        <v>2</v>
      </c>
      <c r="D51">
        <v>2</v>
      </c>
      <c r="E51">
        <v>0</v>
      </c>
      <c r="L51" t="s">
        <v>359</v>
      </c>
      <c r="M51">
        <v>20</v>
      </c>
      <c r="N51">
        <v>20</v>
      </c>
      <c r="O51">
        <v>0</v>
      </c>
    </row>
    <row r="52" spans="2:15" x14ac:dyDescent="0.35">
      <c r="B52" t="s">
        <v>28</v>
      </c>
      <c r="C52">
        <v>80</v>
      </c>
      <c r="D52">
        <v>80</v>
      </c>
      <c r="E52">
        <v>0</v>
      </c>
      <c r="L52" t="s">
        <v>375</v>
      </c>
      <c r="M52">
        <v>118</v>
      </c>
      <c r="N52">
        <v>118</v>
      </c>
      <c r="O52">
        <v>0</v>
      </c>
    </row>
    <row r="53" spans="2:15" x14ac:dyDescent="0.35">
      <c r="B53" t="s">
        <v>37</v>
      </c>
      <c r="C53">
        <v>1</v>
      </c>
      <c r="D53">
        <v>1</v>
      </c>
      <c r="E53">
        <v>0</v>
      </c>
      <c r="L53" t="s">
        <v>378</v>
      </c>
      <c r="M53">
        <v>16</v>
      </c>
      <c r="N53">
        <v>16</v>
      </c>
      <c r="O53">
        <v>0</v>
      </c>
    </row>
    <row r="54" spans="2:15" x14ac:dyDescent="0.35">
      <c r="B54" t="s">
        <v>33</v>
      </c>
      <c r="C54">
        <v>1</v>
      </c>
      <c r="D54">
        <v>1</v>
      </c>
      <c r="E54">
        <v>0</v>
      </c>
      <c r="L54" t="s">
        <v>405</v>
      </c>
      <c r="M54">
        <v>89</v>
      </c>
      <c r="N54">
        <v>89</v>
      </c>
      <c r="O54">
        <v>0</v>
      </c>
    </row>
    <row r="55" spans="2:15" x14ac:dyDescent="0.35">
      <c r="B55" t="s">
        <v>614</v>
      </c>
      <c r="C55">
        <v>20</v>
      </c>
      <c r="D55">
        <v>20</v>
      </c>
      <c r="E55">
        <v>0</v>
      </c>
      <c r="L55" t="s">
        <v>426</v>
      </c>
      <c r="M55">
        <v>1</v>
      </c>
      <c r="N55">
        <v>1</v>
      </c>
      <c r="O55">
        <v>0</v>
      </c>
    </row>
    <row r="56" spans="2:15" x14ac:dyDescent="0.35">
      <c r="B56" t="s">
        <v>765</v>
      </c>
      <c r="C56">
        <v>4</v>
      </c>
      <c r="D56">
        <v>4</v>
      </c>
      <c r="E56">
        <v>0</v>
      </c>
      <c r="L56" t="s">
        <v>436</v>
      </c>
      <c r="M56">
        <v>4</v>
      </c>
      <c r="N56">
        <v>4</v>
      </c>
      <c r="O56">
        <v>0</v>
      </c>
    </row>
    <row r="57" spans="2:15" x14ac:dyDescent="0.35">
      <c r="B57" t="s">
        <v>813</v>
      </c>
      <c r="C57">
        <v>15</v>
      </c>
      <c r="D57">
        <v>15</v>
      </c>
      <c r="E57">
        <v>0</v>
      </c>
      <c r="L57" t="s">
        <v>435</v>
      </c>
      <c r="M57">
        <v>49</v>
      </c>
      <c r="N57">
        <v>49</v>
      </c>
      <c r="O57">
        <v>0</v>
      </c>
    </row>
    <row r="58" spans="2:15" x14ac:dyDescent="0.35">
      <c r="B58" t="s">
        <v>842</v>
      </c>
      <c r="C58">
        <v>6</v>
      </c>
      <c r="D58">
        <v>6</v>
      </c>
      <c r="E58">
        <v>0</v>
      </c>
      <c r="L58" t="s">
        <v>431</v>
      </c>
      <c r="M58">
        <v>13</v>
      </c>
      <c r="N58">
        <v>13</v>
      </c>
      <c r="O58">
        <v>0</v>
      </c>
    </row>
    <row r="59" spans="2:15" x14ac:dyDescent="0.35">
      <c r="B59" t="s">
        <v>862</v>
      </c>
      <c r="C59">
        <v>20</v>
      </c>
      <c r="D59">
        <v>20</v>
      </c>
      <c r="E59">
        <v>0</v>
      </c>
      <c r="L59" t="s">
        <v>430</v>
      </c>
      <c r="M59">
        <v>10</v>
      </c>
      <c r="N59">
        <v>10</v>
      </c>
      <c r="O59">
        <v>0</v>
      </c>
    </row>
    <row r="60" spans="2:15" x14ac:dyDescent="0.35">
      <c r="B60" t="s">
        <v>925</v>
      </c>
      <c r="C60">
        <v>15</v>
      </c>
      <c r="D60">
        <v>15</v>
      </c>
      <c r="E60">
        <v>0</v>
      </c>
      <c r="L60" t="s">
        <v>432</v>
      </c>
      <c r="M60">
        <v>12</v>
      </c>
      <c r="N60">
        <v>12</v>
      </c>
      <c r="O60">
        <v>0</v>
      </c>
    </row>
    <row r="61" spans="2:15" x14ac:dyDescent="0.35">
      <c r="B61" t="s">
        <v>955</v>
      </c>
      <c r="C61">
        <v>16</v>
      </c>
      <c r="D61">
        <v>16</v>
      </c>
      <c r="E61">
        <v>0</v>
      </c>
      <c r="L61" t="s">
        <v>447</v>
      </c>
      <c r="M61">
        <v>3</v>
      </c>
      <c r="N61">
        <v>3</v>
      </c>
      <c r="O61">
        <v>0</v>
      </c>
    </row>
    <row r="62" spans="2:15" x14ac:dyDescent="0.35">
      <c r="B62" t="s">
        <v>962</v>
      </c>
      <c r="C62">
        <v>1</v>
      </c>
      <c r="D62">
        <v>1</v>
      </c>
      <c r="E62">
        <v>0</v>
      </c>
      <c r="L62" t="s">
        <v>458</v>
      </c>
      <c r="M62">
        <v>9</v>
      </c>
      <c r="N62">
        <v>9</v>
      </c>
      <c r="O62">
        <v>0</v>
      </c>
    </row>
    <row r="63" spans="2:15" x14ac:dyDescent="0.35">
      <c r="B63" t="s">
        <v>956</v>
      </c>
      <c r="C63">
        <v>1</v>
      </c>
      <c r="D63">
        <v>1</v>
      </c>
      <c r="E63">
        <v>0</v>
      </c>
      <c r="L63" t="s">
        <v>462</v>
      </c>
      <c r="M63">
        <v>12</v>
      </c>
      <c r="N63">
        <v>12</v>
      </c>
      <c r="O63">
        <v>0</v>
      </c>
    </row>
    <row r="64" spans="2:15" x14ac:dyDescent="0.35">
      <c r="B64" t="s">
        <v>957</v>
      </c>
      <c r="C64">
        <v>12</v>
      </c>
      <c r="D64">
        <v>12</v>
      </c>
      <c r="E64">
        <v>0</v>
      </c>
      <c r="L64" t="s">
        <v>491</v>
      </c>
      <c r="M64">
        <v>14</v>
      </c>
      <c r="N64">
        <v>14</v>
      </c>
      <c r="O64">
        <v>0</v>
      </c>
    </row>
    <row r="65" spans="1:15" x14ac:dyDescent="0.35">
      <c r="B65" t="s">
        <v>958</v>
      </c>
      <c r="C65">
        <v>1</v>
      </c>
      <c r="D65">
        <v>1</v>
      </c>
      <c r="E65">
        <v>0</v>
      </c>
      <c r="L65" t="s">
        <v>489</v>
      </c>
      <c r="M65">
        <v>42</v>
      </c>
      <c r="N65">
        <v>42</v>
      </c>
      <c r="O65">
        <v>0</v>
      </c>
    </row>
    <row r="66" spans="1:15" x14ac:dyDescent="0.35">
      <c r="B66" t="s">
        <v>959</v>
      </c>
      <c r="C66">
        <v>6</v>
      </c>
      <c r="D66">
        <v>6</v>
      </c>
      <c r="E66">
        <v>0</v>
      </c>
      <c r="L66" t="s">
        <v>501</v>
      </c>
      <c r="M66">
        <v>1</v>
      </c>
      <c r="N66">
        <v>1</v>
      </c>
      <c r="O66">
        <v>0</v>
      </c>
    </row>
    <row r="67" spans="1:15" x14ac:dyDescent="0.35">
      <c r="B67" t="s">
        <v>981</v>
      </c>
      <c r="C67">
        <v>2</v>
      </c>
      <c r="D67">
        <v>2</v>
      </c>
      <c r="E67">
        <v>0</v>
      </c>
      <c r="L67" t="s">
        <v>518</v>
      </c>
      <c r="M67">
        <v>10</v>
      </c>
      <c r="N67">
        <v>10</v>
      </c>
      <c r="O67">
        <v>0</v>
      </c>
    </row>
    <row r="68" spans="1:15" x14ac:dyDescent="0.35">
      <c r="B68" t="s">
        <v>975</v>
      </c>
      <c r="C68">
        <v>20</v>
      </c>
      <c r="D68">
        <v>20</v>
      </c>
      <c r="E68">
        <v>0</v>
      </c>
      <c r="L68" t="s">
        <v>575</v>
      </c>
      <c r="M68">
        <v>5</v>
      </c>
      <c r="N68">
        <v>5</v>
      </c>
      <c r="O68">
        <v>0</v>
      </c>
    </row>
    <row r="69" spans="1:15" x14ac:dyDescent="0.35">
      <c r="A69" s="34" t="s">
        <v>187</v>
      </c>
      <c r="B69" s="34"/>
      <c r="C69" s="34">
        <v>288</v>
      </c>
      <c r="D69" s="34">
        <v>288</v>
      </c>
      <c r="E69" s="34">
        <v>0</v>
      </c>
      <c r="L69" t="s">
        <v>573</v>
      </c>
      <c r="M69">
        <v>2</v>
      </c>
      <c r="N69">
        <v>2</v>
      </c>
      <c r="O69">
        <v>0</v>
      </c>
    </row>
    <row r="70" spans="1:15" x14ac:dyDescent="0.35">
      <c r="A70">
        <v>8</v>
      </c>
      <c r="B70" t="s">
        <v>63</v>
      </c>
      <c r="C70">
        <v>1</v>
      </c>
      <c r="D70">
        <v>1</v>
      </c>
      <c r="E70">
        <v>0</v>
      </c>
      <c r="L70" t="s">
        <v>568</v>
      </c>
      <c r="M70">
        <v>1</v>
      </c>
      <c r="N70">
        <v>1</v>
      </c>
      <c r="O70">
        <v>0</v>
      </c>
    </row>
    <row r="71" spans="1:15" x14ac:dyDescent="0.35">
      <c r="B71" t="s">
        <v>180</v>
      </c>
      <c r="C71">
        <v>4</v>
      </c>
      <c r="D71">
        <v>4</v>
      </c>
      <c r="E71">
        <v>0</v>
      </c>
      <c r="L71" t="s">
        <v>583</v>
      </c>
      <c r="M71">
        <v>26</v>
      </c>
      <c r="N71">
        <v>26</v>
      </c>
      <c r="O71">
        <v>0</v>
      </c>
    </row>
    <row r="72" spans="1:15" x14ac:dyDescent="0.35">
      <c r="B72" t="s">
        <v>55</v>
      </c>
      <c r="C72">
        <v>2</v>
      </c>
      <c r="D72">
        <v>2</v>
      </c>
      <c r="E72">
        <v>0</v>
      </c>
      <c r="L72" t="s">
        <v>591</v>
      </c>
      <c r="M72">
        <v>12</v>
      </c>
      <c r="N72">
        <v>12</v>
      </c>
      <c r="O72">
        <v>0</v>
      </c>
    </row>
    <row r="73" spans="1:15" x14ac:dyDescent="0.35">
      <c r="B73" t="s">
        <v>17</v>
      </c>
      <c r="C73">
        <v>4</v>
      </c>
      <c r="D73">
        <v>4</v>
      </c>
      <c r="E73">
        <v>0</v>
      </c>
      <c r="L73" t="s">
        <v>592</v>
      </c>
      <c r="M73">
        <v>2</v>
      </c>
      <c r="N73">
        <v>2</v>
      </c>
      <c r="O73">
        <v>0</v>
      </c>
    </row>
    <row r="74" spans="1:15" x14ac:dyDescent="0.35">
      <c r="B74" t="s">
        <v>29</v>
      </c>
      <c r="C74">
        <v>10</v>
      </c>
      <c r="D74">
        <v>10</v>
      </c>
      <c r="E74">
        <v>0</v>
      </c>
      <c r="L74" t="s">
        <v>593</v>
      </c>
      <c r="M74">
        <v>4</v>
      </c>
      <c r="N74">
        <v>4</v>
      </c>
      <c r="O74">
        <v>0</v>
      </c>
    </row>
    <row r="75" spans="1:15" x14ac:dyDescent="0.35">
      <c r="B75" t="s">
        <v>64</v>
      </c>
      <c r="C75">
        <v>10</v>
      </c>
      <c r="D75">
        <v>10</v>
      </c>
      <c r="E75">
        <v>0</v>
      </c>
      <c r="L75" t="s">
        <v>579</v>
      </c>
      <c r="M75">
        <v>20</v>
      </c>
      <c r="N75">
        <v>20</v>
      </c>
      <c r="O75">
        <v>0</v>
      </c>
    </row>
    <row r="76" spans="1:15" x14ac:dyDescent="0.35">
      <c r="B76" t="s">
        <v>37</v>
      </c>
      <c r="C76">
        <v>2</v>
      </c>
      <c r="D76">
        <v>2</v>
      </c>
      <c r="E76">
        <v>0</v>
      </c>
      <c r="L76" t="s">
        <v>614</v>
      </c>
      <c r="M76">
        <v>60</v>
      </c>
      <c r="N76">
        <v>60</v>
      </c>
      <c r="O76">
        <v>0</v>
      </c>
    </row>
    <row r="77" spans="1:15" x14ac:dyDescent="0.35">
      <c r="B77" t="s">
        <v>643</v>
      </c>
      <c r="C77">
        <v>4</v>
      </c>
      <c r="D77">
        <v>4</v>
      </c>
      <c r="E77">
        <v>0</v>
      </c>
      <c r="L77" t="s">
        <v>613</v>
      </c>
      <c r="M77">
        <v>20</v>
      </c>
      <c r="N77">
        <v>20</v>
      </c>
      <c r="O77">
        <v>0</v>
      </c>
    </row>
    <row r="78" spans="1:15" x14ac:dyDescent="0.35">
      <c r="B78" t="s">
        <v>675</v>
      </c>
      <c r="C78">
        <v>1</v>
      </c>
      <c r="D78">
        <v>1</v>
      </c>
      <c r="E78">
        <v>0</v>
      </c>
      <c r="L78" t="s">
        <v>624</v>
      </c>
      <c r="M78">
        <v>44</v>
      </c>
      <c r="N78">
        <v>44</v>
      </c>
      <c r="O78">
        <v>0</v>
      </c>
    </row>
    <row r="79" spans="1:15" x14ac:dyDescent="0.35">
      <c r="B79" t="s">
        <v>748</v>
      </c>
      <c r="C79">
        <v>1</v>
      </c>
      <c r="D79">
        <v>1</v>
      </c>
      <c r="E79">
        <v>0</v>
      </c>
      <c r="L79" t="s">
        <v>625</v>
      </c>
      <c r="M79">
        <v>23</v>
      </c>
      <c r="N79">
        <v>23</v>
      </c>
      <c r="O79">
        <v>0</v>
      </c>
    </row>
    <row r="80" spans="1:15" x14ac:dyDescent="0.35">
      <c r="B80" t="s">
        <v>842</v>
      </c>
      <c r="C80">
        <v>13</v>
      </c>
      <c r="D80">
        <v>13</v>
      </c>
      <c r="E80">
        <v>0</v>
      </c>
      <c r="L80" t="s">
        <v>656</v>
      </c>
      <c r="M80">
        <v>2</v>
      </c>
      <c r="N80">
        <v>2</v>
      </c>
      <c r="O80">
        <v>0</v>
      </c>
    </row>
    <row r="81" spans="1:15" x14ac:dyDescent="0.35">
      <c r="B81" t="s">
        <v>928</v>
      </c>
      <c r="C81">
        <v>3</v>
      </c>
      <c r="D81">
        <v>3</v>
      </c>
      <c r="E81">
        <v>0</v>
      </c>
      <c r="L81" t="s">
        <v>643</v>
      </c>
      <c r="M81">
        <v>24</v>
      </c>
      <c r="N81">
        <v>24</v>
      </c>
      <c r="O81">
        <v>0</v>
      </c>
    </row>
    <row r="82" spans="1:15" x14ac:dyDescent="0.35">
      <c r="B82" t="s">
        <v>925</v>
      </c>
      <c r="C82">
        <v>5</v>
      </c>
      <c r="D82">
        <v>5</v>
      </c>
      <c r="E82">
        <v>0</v>
      </c>
      <c r="L82" t="s">
        <v>632</v>
      </c>
      <c r="M82">
        <v>20</v>
      </c>
      <c r="N82">
        <v>20</v>
      </c>
      <c r="O82">
        <v>0</v>
      </c>
    </row>
    <row r="83" spans="1:15" x14ac:dyDescent="0.35">
      <c r="B83" t="s">
        <v>958</v>
      </c>
      <c r="C83">
        <v>8</v>
      </c>
      <c r="D83">
        <v>8</v>
      </c>
      <c r="E83">
        <v>0</v>
      </c>
      <c r="L83" t="s">
        <v>653</v>
      </c>
      <c r="M83">
        <v>2</v>
      </c>
      <c r="N83">
        <v>2</v>
      </c>
      <c r="O83">
        <v>0</v>
      </c>
    </row>
    <row r="84" spans="1:15" x14ac:dyDescent="0.35">
      <c r="B84" t="s">
        <v>959</v>
      </c>
      <c r="C84">
        <v>33</v>
      </c>
      <c r="D84">
        <v>33</v>
      </c>
      <c r="E84">
        <v>0</v>
      </c>
      <c r="L84" t="s">
        <v>655</v>
      </c>
      <c r="M84">
        <v>10</v>
      </c>
      <c r="N84">
        <v>10</v>
      </c>
      <c r="O84">
        <v>0</v>
      </c>
    </row>
    <row r="85" spans="1:15" x14ac:dyDescent="0.35">
      <c r="B85" t="s">
        <v>981</v>
      </c>
      <c r="C85">
        <v>3</v>
      </c>
      <c r="D85">
        <v>3</v>
      </c>
      <c r="E85">
        <v>0</v>
      </c>
      <c r="L85" t="s">
        <v>675</v>
      </c>
      <c r="M85">
        <v>6</v>
      </c>
      <c r="N85">
        <v>6</v>
      </c>
      <c r="O85">
        <v>0</v>
      </c>
    </row>
    <row r="86" spans="1:15" x14ac:dyDescent="0.35">
      <c r="B86" t="s">
        <v>976</v>
      </c>
      <c r="C86">
        <v>1</v>
      </c>
      <c r="D86">
        <v>1</v>
      </c>
      <c r="E86">
        <v>0</v>
      </c>
      <c r="L86" t="s">
        <v>683</v>
      </c>
      <c r="M86">
        <v>12</v>
      </c>
      <c r="N86">
        <v>11</v>
      </c>
      <c r="O86">
        <v>1</v>
      </c>
    </row>
    <row r="87" spans="1:15" x14ac:dyDescent="0.35">
      <c r="B87" t="s">
        <v>977</v>
      </c>
      <c r="C87">
        <v>1</v>
      </c>
      <c r="D87">
        <v>1</v>
      </c>
      <c r="E87">
        <v>0</v>
      </c>
      <c r="L87" t="s">
        <v>687</v>
      </c>
      <c r="M87">
        <v>6</v>
      </c>
      <c r="N87">
        <v>6</v>
      </c>
      <c r="O87">
        <v>0</v>
      </c>
    </row>
    <row r="88" spans="1:15" x14ac:dyDescent="0.35">
      <c r="B88" t="s">
        <v>979</v>
      </c>
      <c r="C88">
        <v>5</v>
      </c>
      <c r="D88">
        <v>5</v>
      </c>
      <c r="E88">
        <v>0</v>
      </c>
      <c r="L88" t="s">
        <v>719</v>
      </c>
      <c r="M88">
        <v>1</v>
      </c>
      <c r="N88">
        <v>1</v>
      </c>
      <c r="O88">
        <v>0</v>
      </c>
    </row>
    <row r="89" spans="1:15" x14ac:dyDescent="0.35">
      <c r="B89" t="s">
        <v>980</v>
      </c>
      <c r="C89">
        <v>20</v>
      </c>
      <c r="D89">
        <v>20</v>
      </c>
      <c r="E89">
        <v>0</v>
      </c>
      <c r="L89" t="s">
        <v>720</v>
      </c>
      <c r="M89">
        <v>2</v>
      </c>
      <c r="N89">
        <v>2</v>
      </c>
      <c r="O89">
        <v>0</v>
      </c>
    </row>
    <row r="90" spans="1:15" x14ac:dyDescent="0.35">
      <c r="A90" s="34" t="s">
        <v>185</v>
      </c>
      <c r="B90" s="34"/>
      <c r="C90" s="34">
        <v>131</v>
      </c>
      <c r="D90" s="34">
        <v>131</v>
      </c>
      <c r="E90" s="34">
        <v>0</v>
      </c>
      <c r="L90" t="s">
        <v>718</v>
      </c>
      <c r="M90">
        <v>4</v>
      </c>
      <c r="N90">
        <v>4</v>
      </c>
      <c r="O90">
        <v>0</v>
      </c>
    </row>
    <row r="91" spans="1:15" x14ac:dyDescent="0.35">
      <c r="A91">
        <v>9</v>
      </c>
      <c r="B91" t="s">
        <v>19</v>
      </c>
      <c r="C91">
        <v>20</v>
      </c>
      <c r="D91">
        <v>20</v>
      </c>
      <c r="E91">
        <v>0</v>
      </c>
      <c r="L91" t="s">
        <v>729</v>
      </c>
      <c r="M91">
        <v>247</v>
      </c>
      <c r="N91">
        <v>247</v>
      </c>
      <c r="O91">
        <v>0</v>
      </c>
    </row>
    <row r="92" spans="1:15" x14ac:dyDescent="0.35">
      <c r="B92" t="s">
        <v>180</v>
      </c>
      <c r="C92">
        <v>6</v>
      </c>
      <c r="D92">
        <v>6</v>
      </c>
      <c r="E92">
        <v>0</v>
      </c>
      <c r="L92" t="s">
        <v>728</v>
      </c>
      <c r="M92">
        <v>26</v>
      </c>
      <c r="N92">
        <v>26</v>
      </c>
      <c r="O92">
        <v>0</v>
      </c>
    </row>
    <row r="93" spans="1:15" x14ac:dyDescent="0.35">
      <c r="B93" t="s">
        <v>177</v>
      </c>
      <c r="C93">
        <v>6</v>
      </c>
      <c r="D93">
        <v>6</v>
      </c>
      <c r="E93">
        <v>0</v>
      </c>
      <c r="L93" t="s">
        <v>744</v>
      </c>
      <c r="M93">
        <v>38</v>
      </c>
      <c r="N93">
        <v>38</v>
      </c>
      <c r="O93">
        <v>0</v>
      </c>
    </row>
    <row r="94" spans="1:15" x14ac:dyDescent="0.35">
      <c r="B94" t="s">
        <v>16</v>
      </c>
      <c r="C94">
        <v>30</v>
      </c>
      <c r="D94">
        <v>30</v>
      </c>
      <c r="E94">
        <v>0</v>
      </c>
      <c r="L94" t="s">
        <v>745</v>
      </c>
      <c r="M94">
        <v>1</v>
      </c>
      <c r="N94">
        <v>1</v>
      </c>
      <c r="O94">
        <v>0</v>
      </c>
    </row>
    <row r="95" spans="1:15" x14ac:dyDescent="0.35">
      <c r="B95" t="s">
        <v>31</v>
      </c>
      <c r="C95">
        <v>2</v>
      </c>
      <c r="D95">
        <v>2</v>
      </c>
      <c r="E95">
        <v>0</v>
      </c>
      <c r="L95" t="s">
        <v>748</v>
      </c>
      <c r="M95">
        <v>4</v>
      </c>
      <c r="N95">
        <v>4</v>
      </c>
      <c r="O95">
        <v>0</v>
      </c>
    </row>
    <row r="96" spans="1:15" x14ac:dyDescent="0.35">
      <c r="B96" t="s">
        <v>29</v>
      </c>
      <c r="C96">
        <v>27</v>
      </c>
      <c r="D96">
        <v>27</v>
      </c>
      <c r="E96">
        <v>0</v>
      </c>
      <c r="L96" t="s">
        <v>763</v>
      </c>
      <c r="M96">
        <v>96</v>
      </c>
      <c r="N96">
        <v>96</v>
      </c>
      <c r="O96">
        <v>0</v>
      </c>
    </row>
    <row r="97" spans="2:15" x14ac:dyDescent="0.35">
      <c r="B97" t="s">
        <v>64</v>
      </c>
      <c r="C97">
        <v>20</v>
      </c>
      <c r="D97">
        <v>20</v>
      </c>
      <c r="E97">
        <v>0</v>
      </c>
      <c r="L97" t="s">
        <v>765</v>
      </c>
      <c r="M97">
        <v>27</v>
      </c>
      <c r="N97">
        <v>24</v>
      </c>
      <c r="O97">
        <v>3</v>
      </c>
    </row>
    <row r="98" spans="2:15" x14ac:dyDescent="0.35">
      <c r="B98" t="s">
        <v>28</v>
      </c>
      <c r="C98">
        <v>44</v>
      </c>
      <c r="D98">
        <v>44</v>
      </c>
      <c r="E98">
        <v>0</v>
      </c>
      <c r="L98" t="s">
        <v>764</v>
      </c>
      <c r="M98">
        <v>1</v>
      </c>
      <c r="N98">
        <v>1</v>
      </c>
      <c r="O98">
        <v>0</v>
      </c>
    </row>
    <row r="99" spans="2:15" x14ac:dyDescent="0.35">
      <c r="B99" t="s">
        <v>37</v>
      </c>
      <c r="C99">
        <v>6</v>
      </c>
      <c r="D99">
        <v>6</v>
      </c>
      <c r="E99">
        <v>0</v>
      </c>
      <c r="L99" t="s">
        <v>787</v>
      </c>
      <c r="M99">
        <v>2</v>
      </c>
      <c r="N99">
        <v>2</v>
      </c>
      <c r="O99">
        <v>0</v>
      </c>
    </row>
    <row r="100" spans="2:15" x14ac:dyDescent="0.35">
      <c r="B100" t="s">
        <v>33</v>
      </c>
      <c r="C100">
        <v>1</v>
      </c>
      <c r="D100">
        <v>1</v>
      </c>
      <c r="E100">
        <v>0</v>
      </c>
      <c r="L100" t="s">
        <v>791</v>
      </c>
      <c r="M100">
        <v>41</v>
      </c>
      <c r="N100">
        <v>30</v>
      </c>
      <c r="O100">
        <v>11</v>
      </c>
    </row>
    <row r="101" spans="2:15" x14ac:dyDescent="0.35">
      <c r="B101" t="s">
        <v>233</v>
      </c>
      <c r="C101">
        <v>2</v>
      </c>
      <c r="D101">
        <v>2</v>
      </c>
      <c r="E101">
        <v>0</v>
      </c>
      <c r="L101" t="s">
        <v>813</v>
      </c>
      <c r="M101">
        <v>83</v>
      </c>
      <c r="N101">
        <v>83</v>
      </c>
      <c r="O101">
        <v>0</v>
      </c>
    </row>
    <row r="102" spans="2:15" x14ac:dyDescent="0.35">
      <c r="B102" t="s">
        <v>245</v>
      </c>
      <c r="C102">
        <v>12</v>
      </c>
      <c r="D102">
        <v>12</v>
      </c>
      <c r="E102">
        <v>0</v>
      </c>
      <c r="L102" t="s">
        <v>814</v>
      </c>
      <c r="M102">
        <v>15</v>
      </c>
      <c r="N102">
        <v>15</v>
      </c>
      <c r="O102">
        <v>0</v>
      </c>
    </row>
    <row r="103" spans="2:15" x14ac:dyDescent="0.35">
      <c r="B103" t="s">
        <v>265</v>
      </c>
      <c r="C103">
        <v>1</v>
      </c>
      <c r="D103">
        <v>1</v>
      </c>
      <c r="E103">
        <v>0</v>
      </c>
      <c r="L103" t="s">
        <v>815</v>
      </c>
      <c r="M103">
        <v>20</v>
      </c>
      <c r="N103">
        <v>20</v>
      </c>
      <c r="O103">
        <v>0</v>
      </c>
    </row>
    <row r="104" spans="2:15" x14ac:dyDescent="0.35">
      <c r="B104" t="s">
        <v>375</v>
      </c>
      <c r="C104">
        <v>32</v>
      </c>
      <c r="D104">
        <v>32</v>
      </c>
      <c r="E104">
        <v>0</v>
      </c>
      <c r="L104" t="s">
        <v>816</v>
      </c>
      <c r="M104">
        <v>20</v>
      </c>
      <c r="N104">
        <v>20</v>
      </c>
      <c r="O104">
        <v>0</v>
      </c>
    </row>
    <row r="105" spans="2:15" x14ac:dyDescent="0.35">
      <c r="B105" t="s">
        <v>405</v>
      </c>
      <c r="C105">
        <v>12</v>
      </c>
      <c r="D105">
        <v>12</v>
      </c>
      <c r="E105">
        <v>0</v>
      </c>
      <c r="L105" t="s">
        <v>818</v>
      </c>
      <c r="M105">
        <v>2</v>
      </c>
      <c r="N105">
        <v>2</v>
      </c>
      <c r="O105">
        <v>0</v>
      </c>
    </row>
    <row r="106" spans="2:15" x14ac:dyDescent="0.35">
      <c r="B106" t="s">
        <v>763</v>
      </c>
      <c r="C106">
        <v>20</v>
      </c>
      <c r="D106">
        <v>20</v>
      </c>
      <c r="E106">
        <v>0</v>
      </c>
      <c r="L106" t="s">
        <v>841</v>
      </c>
      <c r="M106">
        <v>2</v>
      </c>
      <c r="N106">
        <v>2</v>
      </c>
      <c r="O106">
        <v>0</v>
      </c>
    </row>
    <row r="107" spans="2:15" x14ac:dyDescent="0.35">
      <c r="B107" t="s">
        <v>842</v>
      </c>
      <c r="C107">
        <v>4</v>
      </c>
      <c r="D107">
        <v>4</v>
      </c>
      <c r="E107">
        <v>0</v>
      </c>
      <c r="L107" t="s">
        <v>843</v>
      </c>
      <c r="M107">
        <v>1</v>
      </c>
      <c r="N107">
        <v>1</v>
      </c>
      <c r="O107">
        <v>0</v>
      </c>
    </row>
    <row r="108" spans="2:15" x14ac:dyDescent="0.35">
      <c r="B108" t="s">
        <v>862</v>
      </c>
      <c r="C108">
        <v>20</v>
      </c>
      <c r="D108">
        <v>20</v>
      </c>
      <c r="E108">
        <v>0</v>
      </c>
      <c r="L108" t="s">
        <v>842</v>
      </c>
      <c r="M108">
        <v>31</v>
      </c>
      <c r="N108">
        <v>31</v>
      </c>
      <c r="O108">
        <v>0</v>
      </c>
    </row>
    <row r="109" spans="2:15" x14ac:dyDescent="0.35">
      <c r="B109" t="s">
        <v>900</v>
      </c>
      <c r="C109">
        <v>10</v>
      </c>
      <c r="D109">
        <v>10</v>
      </c>
      <c r="E109">
        <v>0</v>
      </c>
      <c r="L109" t="s">
        <v>856</v>
      </c>
      <c r="M109">
        <v>2</v>
      </c>
      <c r="N109">
        <v>2</v>
      </c>
      <c r="O109">
        <v>0</v>
      </c>
    </row>
    <row r="110" spans="2:15" x14ac:dyDescent="0.35">
      <c r="B110" t="s">
        <v>892</v>
      </c>
      <c r="C110">
        <v>1</v>
      </c>
      <c r="D110">
        <v>1</v>
      </c>
      <c r="E110">
        <v>0</v>
      </c>
      <c r="L110" t="s">
        <v>862</v>
      </c>
      <c r="M110">
        <v>60</v>
      </c>
      <c r="N110">
        <v>60</v>
      </c>
      <c r="O110">
        <v>0</v>
      </c>
    </row>
    <row r="111" spans="2:15" x14ac:dyDescent="0.35">
      <c r="B111" t="s">
        <v>956</v>
      </c>
      <c r="C111">
        <v>1</v>
      </c>
      <c r="D111">
        <v>1</v>
      </c>
      <c r="E111">
        <v>0</v>
      </c>
      <c r="L111" t="s">
        <v>869</v>
      </c>
      <c r="M111">
        <v>1</v>
      </c>
      <c r="N111">
        <v>1</v>
      </c>
      <c r="O111">
        <v>0</v>
      </c>
    </row>
    <row r="112" spans="2:15" x14ac:dyDescent="0.35">
      <c r="B112" t="s">
        <v>958</v>
      </c>
      <c r="C112">
        <v>4</v>
      </c>
      <c r="D112">
        <v>4</v>
      </c>
      <c r="E112">
        <v>0</v>
      </c>
      <c r="L112" t="s">
        <v>880</v>
      </c>
      <c r="M112">
        <v>80</v>
      </c>
      <c r="N112">
        <v>60</v>
      </c>
      <c r="O112">
        <v>20</v>
      </c>
    </row>
    <row r="113" spans="1:15" x14ac:dyDescent="0.35">
      <c r="B113" t="s">
        <v>980</v>
      </c>
      <c r="C113">
        <v>40</v>
      </c>
      <c r="D113">
        <v>40</v>
      </c>
      <c r="E113">
        <v>0</v>
      </c>
      <c r="L113" t="s">
        <v>900</v>
      </c>
      <c r="M113">
        <v>82</v>
      </c>
      <c r="N113">
        <v>79</v>
      </c>
      <c r="O113">
        <v>3</v>
      </c>
    </row>
    <row r="114" spans="1:15" x14ac:dyDescent="0.35">
      <c r="B114" t="s">
        <v>1022</v>
      </c>
      <c r="C114">
        <v>24</v>
      </c>
      <c r="D114">
        <v>24</v>
      </c>
      <c r="E114">
        <v>0</v>
      </c>
      <c r="L114" t="s">
        <v>895</v>
      </c>
      <c r="M114">
        <v>15</v>
      </c>
      <c r="N114">
        <v>3</v>
      </c>
      <c r="O114">
        <v>12</v>
      </c>
    </row>
    <row r="115" spans="1:15" x14ac:dyDescent="0.35">
      <c r="B115" t="s">
        <v>1023</v>
      </c>
      <c r="C115">
        <v>4</v>
      </c>
      <c r="D115">
        <v>4</v>
      </c>
      <c r="E115">
        <v>0</v>
      </c>
      <c r="L115" t="s">
        <v>892</v>
      </c>
      <c r="M115">
        <v>2</v>
      </c>
      <c r="N115">
        <v>2</v>
      </c>
      <c r="O115">
        <v>0</v>
      </c>
    </row>
    <row r="116" spans="1:15" x14ac:dyDescent="0.35">
      <c r="B116" t="s">
        <v>1024</v>
      </c>
      <c r="C116">
        <v>32</v>
      </c>
      <c r="D116">
        <v>32</v>
      </c>
      <c r="E116">
        <v>0</v>
      </c>
      <c r="L116" t="s">
        <v>928</v>
      </c>
      <c r="M116">
        <v>4</v>
      </c>
      <c r="N116">
        <v>4</v>
      </c>
      <c r="O116">
        <v>0</v>
      </c>
    </row>
    <row r="117" spans="1:15" x14ac:dyDescent="0.35">
      <c r="A117" s="34" t="s">
        <v>183</v>
      </c>
      <c r="B117" s="34"/>
      <c r="C117" s="34">
        <v>381</v>
      </c>
      <c r="D117" s="34">
        <v>381</v>
      </c>
      <c r="E117" s="34">
        <v>0</v>
      </c>
      <c r="L117" t="s">
        <v>925</v>
      </c>
      <c r="M117">
        <v>65</v>
      </c>
      <c r="N117">
        <v>51</v>
      </c>
      <c r="O117">
        <v>14</v>
      </c>
    </row>
    <row r="118" spans="1:15" x14ac:dyDescent="0.35">
      <c r="A118">
        <v>10</v>
      </c>
      <c r="B118" t="s">
        <v>134</v>
      </c>
      <c r="C118">
        <v>2</v>
      </c>
      <c r="D118">
        <v>2</v>
      </c>
      <c r="E118">
        <v>0</v>
      </c>
      <c r="L118" t="s">
        <v>955</v>
      </c>
      <c r="M118">
        <v>16</v>
      </c>
      <c r="N118">
        <v>16</v>
      </c>
      <c r="O118">
        <v>0</v>
      </c>
    </row>
    <row r="119" spans="1:15" x14ac:dyDescent="0.35">
      <c r="B119" t="s">
        <v>19</v>
      </c>
      <c r="C119">
        <v>32</v>
      </c>
      <c r="D119">
        <v>32</v>
      </c>
      <c r="E119">
        <v>0</v>
      </c>
      <c r="L119" t="s">
        <v>962</v>
      </c>
      <c r="M119">
        <v>1</v>
      </c>
      <c r="N119">
        <v>1</v>
      </c>
      <c r="O119">
        <v>0</v>
      </c>
    </row>
    <row r="120" spans="1:15" x14ac:dyDescent="0.35">
      <c r="B120" t="s">
        <v>180</v>
      </c>
      <c r="C120">
        <v>15</v>
      </c>
      <c r="D120">
        <v>15</v>
      </c>
      <c r="E120">
        <v>0</v>
      </c>
      <c r="L120" t="s">
        <v>956</v>
      </c>
      <c r="M120">
        <v>2</v>
      </c>
      <c r="N120">
        <v>2</v>
      </c>
      <c r="O120">
        <v>0</v>
      </c>
    </row>
    <row r="121" spans="1:15" x14ac:dyDescent="0.35">
      <c r="B121" t="s">
        <v>176</v>
      </c>
      <c r="C121">
        <v>20</v>
      </c>
      <c r="D121">
        <v>20</v>
      </c>
      <c r="E121">
        <v>0</v>
      </c>
      <c r="L121" t="s">
        <v>957</v>
      </c>
      <c r="M121">
        <v>24</v>
      </c>
      <c r="N121">
        <v>18</v>
      </c>
      <c r="O121">
        <v>6</v>
      </c>
    </row>
    <row r="122" spans="1:15" x14ac:dyDescent="0.35">
      <c r="B122" t="s">
        <v>177</v>
      </c>
      <c r="C122">
        <v>20</v>
      </c>
      <c r="D122">
        <v>20</v>
      </c>
      <c r="E122">
        <v>0</v>
      </c>
      <c r="L122" t="s">
        <v>958</v>
      </c>
      <c r="M122">
        <v>18</v>
      </c>
      <c r="N122">
        <v>18</v>
      </c>
      <c r="O122">
        <v>0</v>
      </c>
    </row>
    <row r="123" spans="1:15" x14ac:dyDescent="0.35">
      <c r="B123" t="s">
        <v>16</v>
      </c>
      <c r="C123">
        <v>20</v>
      </c>
      <c r="D123">
        <v>20</v>
      </c>
      <c r="E123">
        <v>0</v>
      </c>
      <c r="L123" t="s">
        <v>959</v>
      </c>
      <c r="M123">
        <v>39</v>
      </c>
      <c r="N123">
        <v>39</v>
      </c>
      <c r="O123">
        <v>0</v>
      </c>
    </row>
    <row r="124" spans="1:15" x14ac:dyDescent="0.35">
      <c r="B124" t="s">
        <v>55</v>
      </c>
      <c r="C124">
        <v>2</v>
      </c>
      <c r="D124">
        <v>2</v>
      </c>
      <c r="E124">
        <v>0</v>
      </c>
      <c r="L124" t="s">
        <v>981</v>
      </c>
      <c r="M124">
        <v>14</v>
      </c>
      <c r="N124">
        <v>11</v>
      </c>
      <c r="O124">
        <v>3</v>
      </c>
    </row>
    <row r="125" spans="1:15" x14ac:dyDescent="0.35">
      <c r="B125" t="s">
        <v>17</v>
      </c>
      <c r="C125">
        <v>4</v>
      </c>
      <c r="D125">
        <v>4</v>
      </c>
      <c r="E125">
        <v>0</v>
      </c>
      <c r="L125" t="s">
        <v>975</v>
      </c>
      <c r="M125">
        <v>20</v>
      </c>
      <c r="N125">
        <v>20</v>
      </c>
      <c r="O125">
        <v>0</v>
      </c>
    </row>
    <row r="126" spans="1:15" x14ac:dyDescent="0.35">
      <c r="B126" t="s">
        <v>31</v>
      </c>
      <c r="C126">
        <v>5</v>
      </c>
      <c r="D126">
        <v>5</v>
      </c>
      <c r="E126">
        <v>0</v>
      </c>
      <c r="L126" t="s">
        <v>976</v>
      </c>
      <c r="M126">
        <v>1</v>
      </c>
      <c r="N126">
        <v>1</v>
      </c>
      <c r="O126">
        <v>0</v>
      </c>
    </row>
    <row r="127" spans="1:15" x14ac:dyDescent="0.35">
      <c r="B127" t="s">
        <v>29</v>
      </c>
      <c r="C127">
        <v>20</v>
      </c>
      <c r="D127">
        <v>20</v>
      </c>
      <c r="E127">
        <v>0</v>
      </c>
      <c r="L127" t="s">
        <v>977</v>
      </c>
      <c r="M127">
        <v>1</v>
      </c>
      <c r="N127">
        <v>1</v>
      </c>
      <c r="O127">
        <v>0</v>
      </c>
    </row>
    <row r="128" spans="1:15" x14ac:dyDescent="0.35">
      <c r="B128" t="s">
        <v>153</v>
      </c>
      <c r="C128">
        <v>1</v>
      </c>
      <c r="D128">
        <v>1</v>
      </c>
      <c r="E128">
        <v>0</v>
      </c>
      <c r="L128" t="s">
        <v>979</v>
      </c>
      <c r="M128">
        <v>61</v>
      </c>
      <c r="N128">
        <v>61</v>
      </c>
      <c r="O128">
        <v>0</v>
      </c>
    </row>
    <row r="129" spans="2:15" x14ac:dyDescent="0.35">
      <c r="B129" t="s">
        <v>139</v>
      </c>
      <c r="C129">
        <v>1</v>
      </c>
      <c r="D129">
        <v>1</v>
      </c>
      <c r="E129">
        <v>0</v>
      </c>
      <c r="L129" t="s">
        <v>980</v>
      </c>
      <c r="M129">
        <v>205</v>
      </c>
      <c r="N129">
        <v>131</v>
      </c>
      <c r="O129">
        <v>74</v>
      </c>
    </row>
    <row r="130" spans="2:15" x14ac:dyDescent="0.35">
      <c r="B130" t="s">
        <v>64</v>
      </c>
      <c r="C130">
        <v>12</v>
      </c>
      <c r="D130">
        <v>12</v>
      </c>
      <c r="E130">
        <v>0</v>
      </c>
      <c r="L130" t="s">
        <v>1022</v>
      </c>
      <c r="M130">
        <v>50</v>
      </c>
      <c r="N130">
        <v>40</v>
      </c>
      <c r="O130">
        <v>10</v>
      </c>
    </row>
    <row r="131" spans="2:15" x14ac:dyDescent="0.35">
      <c r="B131" t="s">
        <v>28</v>
      </c>
      <c r="C131">
        <v>53</v>
      </c>
      <c r="D131">
        <v>53</v>
      </c>
      <c r="E131">
        <v>0</v>
      </c>
      <c r="L131" t="s">
        <v>1023</v>
      </c>
      <c r="M131">
        <v>4</v>
      </c>
      <c r="N131">
        <v>4</v>
      </c>
      <c r="O131">
        <v>0</v>
      </c>
    </row>
    <row r="132" spans="2:15" x14ac:dyDescent="0.35">
      <c r="B132" t="s">
        <v>245</v>
      </c>
      <c r="C132">
        <v>4</v>
      </c>
      <c r="D132">
        <v>4</v>
      </c>
      <c r="E132">
        <v>0</v>
      </c>
      <c r="L132" t="s">
        <v>1024</v>
      </c>
      <c r="M132">
        <v>32</v>
      </c>
      <c r="N132">
        <v>32</v>
      </c>
      <c r="O132">
        <v>0</v>
      </c>
    </row>
    <row r="133" spans="2:15" x14ac:dyDescent="0.35">
      <c r="B133" t="s">
        <v>359</v>
      </c>
      <c r="C133">
        <v>10</v>
      </c>
      <c r="D133">
        <v>10</v>
      </c>
      <c r="E133">
        <v>0</v>
      </c>
      <c r="L133" t="s">
        <v>1049</v>
      </c>
      <c r="M133">
        <v>5</v>
      </c>
      <c r="N133">
        <v>5</v>
      </c>
      <c r="O133">
        <v>0</v>
      </c>
    </row>
    <row r="134" spans="2:15" x14ac:dyDescent="0.35">
      <c r="B134" t="s">
        <v>375</v>
      </c>
      <c r="C134">
        <v>37</v>
      </c>
      <c r="D134">
        <v>37</v>
      </c>
      <c r="E134">
        <v>0</v>
      </c>
      <c r="L134" t="s">
        <v>1050</v>
      </c>
      <c r="M134">
        <v>1</v>
      </c>
      <c r="N134">
        <v>1</v>
      </c>
      <c r="O134">
        <v>0</v>
      </c>
    </row>
    <row r="135" spans="2:15" x14ac:dyDescent="0.35">
      <c r="B135" t="s">
        <v>405</v>
      </c>
      <c r="C135">
        <v>20</v>
      </c>
      <c r="D135">
        <v>20</v>
      </c>
      <c r="E135">
        <v>0</v>
      </c>
      <c r="L135" t="s">
        <v>1098</v>
      </c>
      <c r="M135">
        <v>67</v>
      </c>
      <c r="N135">
        <v>67</v>
      </c>
      <c r="O135">
        <v>0</v>
      </c>
    </row>
    <row r="136" spans="2:15" x14ac:dyDescent="0.35">
      <c r="B136" t="s">
        <v>426</v>
      </c>
      <c r="C136">
        <v>1</v>
      </c>
      <c r="D136">
        <v>1</v>
      </c>
      <c r="E136">
        <v>0</v>
      </c>
      <c r="L136" t="s">
        <v>1085</v>
      </c>
      <c r="M136">
        <v>15</v>
      </c>
      <c r="N136">
        <v>15</v>
      </c>
      <c r="O136">
        <v>0</v>
      </c>
    </row>
    <row r="137" spans="2:15" x14ac:dyDescent="0.35">
      <c r="B137" t="s">
        <v>436</v>
      </c>
      <c r="C137">
        <v>4</v>
      </c>
      <c r="D137">
        <v>4</v>
      </c>
      <c r="E137">
        <v>0</v>
      </c>
      <c r="L137" t="s">
        <v>1105</v>
      </c>
      <c r="M137">
        <v>1</v>
      </c>
      <c r="N137">
        <v>1</v>
      </c>
      <c r="O137">
        <v>0</v>
      </c>
    </row>
    <row r="138" spans="2:15" x14ac:dyDescent="0.35">
      <c r="B138" t="s">
        <v>435</v>
      </c>
      <c r="C138">
        <v>26</v>
      </c>
      <c r="D138">
        <v>26</v>
      </c>
      <c r="E138">
        <v>0</v>
      </c>
      <c r="L138" t="s">
        <v>1114</v>
      </c>
      <c r="M138">
        <v>1</v>
      </c>
      <c r="N138">
        <v>1</v>
      </c>
      <c r="O138">
        <v>0</v>
      </c>
    </row>
    <row r="139" spans="2:15" x14ac:dyDescent="0.35">
      <c r="B139" t="s">
        <v>431</v>
      </c>
      <c r="C139">
        <v>9</v>
      </c>
      <c r="D139">
        <v>9</v>
      </c>
      <c r="E139">
        <v>0</v>
      </c>
      <c r="L139" t="s">
        <v>1115</v>
      </c>
      <c r="M139">
        <v>4</v>
      </c>
      <c r="N139">
        <v>4</v>
      </c>
      <c r="O139">
        <v>0</v>
      </c>
    </row>
    <row r="140" spans="2:15" x14ac:dyDescent="0.35">
      <c r="B140" t="s">
        <v>430</v>
      </c>
      <c r="C140">
        <v>10</v>
      </c>
      <c r="D140">
        <v>10</v>
      </c>
      <c r="E140">
        <v>0</v>
      </c>
      <c r="L140" t="s">
        <v>1116</v>
      </c>
      <c r="M140">
        <v>4</v>
      </c>
      <c r="N140">
        <v>4</v>
      </c>
      <c r="O140">
        <v>0</v>
      </c>
    </row>
    <row r="141" spans="2:15" x14ac:dyDescent="0.35">
      <c r="B141" t="s">
        <v>432</v>
      </c>
      <c r="C141">
        <v>12</v>
      </c>
      <c r="D141">
        <v>12</v>
      </c>
      <c r="E141">
        <v>0</v>
      </c>
      <c r="L141" t="s">
        <v>1131</v>
      </c>
      <c r="M141">
        <v>12</v>
      </c>
      <c r="N141">
        <v>2</v>
      </c>
      <c r="O141">
        <v>10</v>
      </c>
    </row>
    <row r="142" spans="2:15" x14ac:dyDescent="0.35">
      <c r="B142" t="s">
        <v>447</v>
      </c>
      <c r="C142">
        <v>3</v>
      </c>
      <c r="D142">
        <v>3</v>
      </c>
      <c r="E142">
        <v>0</v>
      </c>
      <c r="L142" t="s">
        <v>1150</v>
      </c>
      <c r="M142">
        <v>10</v>
      </c>
      <c r="N142">
        <v>6</v>
      </c>
      <c r="O142">
        <v>4</v>
      </c>
    </row>
    <row r="143" spans="2:15" x14ac:dyDescent="0.35">
      <c r="B143" t="s">
        <v>458</v>
      </c>
      <c r="C143">
        <v>9</v>
      </c>
      <c r="D143">
        <v>9</v>
      </c>
      <c r="E143">
        <v>0</v>
      </c>
      <c r="L143" t="s">
        <v>1149</v>
      </c>
      <c r="M143">
        <v>12</v>
      </c>
      <c r="N143">
        <v>6</v>
      </c>
      <c r="O143">
        <v>6</v>
      </c>
    </row>
    <row r="144" spans="2:15" x14ac:dyDescent="0.35">
      <c r="B144" t="s">
        <v>462</v>
      </c>
      <c r="C144">
        <v>12</v>
      </c>
      <c r="D144">
        <v>12</v>
      </c>
      <c r="E144">
        <v>0</v>
      </c>
      <c r="L144" t="s">
        <v>1147</v>
      </c>
      <c r="M144">
        <v>5</v>
      </c>
      <c r="N144">
        <v>5</v>
      </c>
      <c r="O144">
        <v>0</v>
      </c>
    </row>
    <row r="145" spans="2:15" x14ac:dyDescent="0.35">
      <c r="B145" t="s">
        <v>491</v>
      </c>
      <c r="C145">
        <v>10</v>
      </c>
      <c r="D145">
        <v>10</v>
      </c>
      <c r="E145">
        <v>0</v>
      </c>
      <c r="L145" t="s">
        <v>1170</v>
      </c>
      <c r="M145">
        <v>1</v>
      </c>
      <c r="N145">
        <v>1</v>
      </c>
      <c r="O145">
        <v>0</v>
      </c>
    </row>
    <row r="146" spans="2:15" x14ac:dyDescent="0.35">
      <c r="B146" t="s">
        <v>489</v>
      </c>
      <c r="C146">
        <v>5</v>
      </c>
      <c r="D146">
        <v>5</v>
      </c>
      <c r="E146">
        <v>0</v>
      </c>
      <c r="L146" t="s">
        <v>1186</v>
      </c>
      <c r="M146">
        <v>1</v>
      </c>
      <c r="O146">
        <v>1</v>
      </c>
    </row>
    <row r="147" spans="2:15" x14ac:dyDescent="0.35">
      <c r="B147" t="s">
        <v>643</v>
      </c>
      <c r="C147">
        <v>4</v>
      </c>
      <c r="D147">
        <v>4</v>
      </c>
      <c r="E147">
        <v>0</v>
      </c>
      <c r="L147" t="s">
        <v>181</v>
      </c>
      <c r="M147">
        <v>4077</v>
      </c>
      <c r="N147">
        <v>3874</v>
      </c>
      <c r="O147">
        <v>203</v>
      </c>
    </row>
    <row r="148" spans="2:15" x14ac:dyDescent="0.35">
      <c r="B148" t="s">
        <v>675</v>
      </c>
      <c r="C148">
        <v>1</v>
      </c>
      <c r="D148">
        <v>1</v>
      </c>
      <c r="E148">
        <v>0</v>
      </c>
    </row>
    <row r="149" spans="2:15" x14ac:dyDescent="0.35">
      <c r="B149" t="s">
        <v>687</v>
      </c>
      <c r="C149">
        <v>1</v>
      </c>
      <c r="D149">
        <v>1</v>
      </c>
      <c r="E149">
        <v>0</v>
      </c>
    </row>
    <row r="150" spans="2:15" x14ac:dyDescent="0.35">
      <c r="B150" t="s">
        <v>765</v>
      </c>
      <c r="C150">
        <v>4</v>
      </c>
      <c r="D150">
        <v>4</v>
      </c>
      <c r="E150">
        <v>0</v>
      </c>
    </row>
    <row r="151" spans="2:15" x14ac:dyDescent="0.35">
      <c r="B151" t="s">
        <v>791</v>
      </c>
      <c r="C151">
        <v>19</v>
      </c>
      <c r="D151">
        <v>8</v>
      </c>
      <c r="E151">
        <v>11</v>
      </c>
    </row>
    <row r="152" spans="2:15" x14ac:dyDescent="0.35">
      <c r="B152" t="s">
        <v>842</v>
      </c>
      <c r="C152">
        <v>1</v>
      </c>
      <c r="D152">
        <v>1</v>
      </c>
      <c r="E152">
        <v>0</v>
      </c>
    </row>
    <row r="153" spans="2:15" x14ac:dyDescent="0.35">
      <c r="B153" t="s">
        <v>880</v>
      </c>
      <c r="C153">
        <v>40</v>
      </c>
      <c r="D153">
        <v>20</v>
      </c>
      <c r="E153">
        <v>20</v>
      </c>
    </row>
    <row r="154" spans="2:15" x14ac:dyDescent="0.35">
      <c r="B154" t="s">
        <v>900</v>
      </c>
      <c r="C154">
        <v>32</v>
      </c>
      <c r="D154">
        <v>29</v>
      </c>
      <c r="E154">
        <v>3</v>
      </c>
    </row>
    <row r="155" spans="2:15" x14ac:dyDescent="0.35">
      <c r="B155" t="s">
        <v>925</v>
      </c>
      <c r="C155">
        <v>15</v>
      </c>
      <c r="D155">
        <v>15</v>
      </c>
      <c r="E155">
        <v>0</v>
      </c>
    </row>
    <row r="156" spans="2:15" x14ac:dyDescent="0.35">
      <c r="B156" t="s">
        <v>958</v>
      </c>
      <c r="C156">
        <v>1</v>
      </c>
      <c r="D156">
        <v>1</v>
      </c>
      <c r="E156">
        <v>0</v>
      </c>
    </row>
    <row r="157" spans="2:15" x14ac:dyDescent="0.35">
      <c r="B157" t="s">
        <v>979</v>
      </c>
      <c r="C157">
        <v>51</v>
      </c>
      <c r="D157">
        <v>51</v>
      </c>
      <c r="E157">
        <v>0</v>
      </c>
    </row>
    <row r="158" spans="2:15" x14ac:dyDescent="0.35">
      <c r="B158" t="s">
        <v>980</v>
      </c>
      <c r="C158">
        <v>65</v>
      </c>
      <c r="D158">
        <v>65</v>
      </c>
      <c r="E158">
        <v>0</v>
      </c>
    </row>
    <row r="159" spans="2:15" x14ac:dyDescent="0.35">
      <c r="B159" t="s">
        <v>1022</v>
      </c>
      <c r="C159">
        <v>11</v>
      </c>
      <c r="D159">
        <v>11</v>
      </c>
      <c r="E159">
        <v>0</v>
      </c>
    </row>
    <row r="160" spans="2:15" x14ac:dyDescent="0.35">
      <c r="B160" t="s">
        <v>1049</v>
      </c>
      <c r="C160">
        <v>5</v>
      </c>
      <c r="D160">
        <v>5</v>
      </c>
      <c r="E160">
        <v>0</v>
      </c>
    </row>
    <row r="161" spans="1:5" x14ac:dyDescent="0.35">
      <c r="B161" t="s">
        <v>1050</v>
      </c>
      <c r="C161">
        <v>1</v>
      </c>
      <c r="D161">
        <v>1</v>
      </c>
      <c r="E161">
        <v>0</v>
      </c>
    </row>
    <row r="162" spans="1:5" x14ac:dyDescent="0.35">
      <c r="B162" t="s">
        <v>1098</v>
      </c>
      <c r="C162">
        <v>64</v>
      </c>
      <c r="D162">
        <v>64</v>
      </c>
      <c r="E162">
        <v>0</v>
      </c>
    </row>
    <row r="163" spans="1:5" x14ac:dyDescent="0.35">
      <c r="B163" t="s">
        <v>1085</v>
      </c>
      <c r="C163">
        <v>15</v>
      </c>
      <c r="D163">
        <v>15</v>
      </c>
      <c r="E163">
        <v>0</v>
      </c>
    </row>
    <row r="164" spans="1:5" x14ac:dyDescent="0.35">
      <c r="B164" t="s">
        <v>1105</v>
      </c>
      <c r="C164">
        <v>1</v>
      </c>
      <c r="D164">
        <v>1</v>
      </c>
      <c r="E164">
        <v>0</v>
      </c>
    </row>
    <row r="165" spans="1:5" x14ac:dyDescent="0.35">
      <c r="B165" t="s">
        <v>1150</v>
      </c>
      <c r="C165">
        <v>10</v>
      </c>
      <c r="D165">
        <v>6</v>
      </c>
      <c r="E165">
        <v>4</v>
      </c>
    </row>
    <row r="166" spans="1:5" x14ac:dyDescent="0.35">
      <c r="A166" s="34" t="s">
        <v>184</v>
      </c>
      <c r="B166" s="34"/>
      <c r="C166" s="34">
        <v>720</v>
      </c>
      <c r="D166" s="34">
        <v>682</v>
      </c>
      <c r="E166" s="34">
        <v>38</v>
      </c>
    </row>
    <row r="167" spans="1:5" x14ac:dyDescent="0.35">
      <c r="A167">
        <v>11</v>
      </c>
      <c r="B167" t="s">
        <v>63</v>
      </c>
      <c r="C167">
        <v>1</v>
      </c>
      <c r="D167">
        <v>1</v>
      </c>
      <c r="E167">
        <v>0</v>
      </c>
    </row>
    <row r="168" spans="1:5" x14ac:dyDescent="0.35">
      <c r="B168" t="s">
        <v>19</v>
      </c>
      <c r="C168">
        <v>56</v>
      </c>
      <c r="D168">
        <v>36</v>
      </c>
      <c r="E168">
        <v>20</v>
      </c>
    </row>
    <row r="169" spans="1:5" x14ac:dyDescent="0.35">
      <c r="B169" t="s">
        <v>16</v>
      </c>
      <c r="C169">
        <v>5</v>
      </c>
      <c r="D169">
        <v>5</v>
      </c>
      <c r="E169">
        <v>0</v>
      </c>
    </row>
    <row r="170" spans="1:5" x14ac:dyDescent="0.35">
      <c r="B170" t="s">
        <v>29</v>
      </c>
      <c r="C170">
        <v>20</v>
      </c>
      <c r="D170">
        <v>20</v>
      </c>
      <c r="E170">
        <v>0</v>
      </c>
    </row>
    <row r="171" spans="1:5" x14ac:dyDescent="0.35">
      <c r="B171" t="s">
        <v>28</v>
      </c>
      <c r="C171">
        <v>85</v>
      </c>
      <c r="D171">
        <v>85</v>
      </c>
      <c r="E171">
        <v>0</v>
      </c>
    </row>
    <row r="172" spans="1:5" x14ac:dyDescent="0.35">
      <c r="B172" t="s">
        <v>37</v>
      </c>
      <c r="C172">
        <v>10</v>
      </c>
      <c r="D172">
        <v>10</v>
      </c>
      <c r="E172">
        <v>0</v>
      </c>
    </row>
    <row r="173" spans="1:5" x14ac:dyDescent="0.35">
      <c r="B173" t="s">
        <v>194</v>
      </c>
      <c r="C173">
        <v>20</v>
      </c>
      <c r="D173">
        <v>20</v>
      </c>
      <c r="E173">
        <v>0</v>
      </c>
    </row>
    <row r="174" spans="1:5" x14ac:dyDescent="0.35">
      <c r="B174" t="s">
        <v>196</v>
      </c>
      <c r="C174">
        <v>3</v>
      </c>
      <c r="D174">
        <v>3</v>
      </c>
      <c r="E174">
        <v>0</v>
      </c>
    </row>
    <row r="175" spans="1:5" x14ac:dyDescent="0.35">
      <c r="B175" t="s">
        <v>233</v>
      </c>
      <c r="C175">
        <v>5</v>
      </c>
      <c r="D175">
        <v>5</v>
      </c>
      <c r="E175">
        <v>0</v>
      </c>
    </row>
    <row r="176" spans="1:5" x14ac:dyDescent="0.35">
      <c r="B176" t="s">
        <v>375</v>
      </c>
      <c r="C176">
        <v>33</v>
      </c>
      <c r="D176">
        <v>33</v>
      </c>
      <c r="E176">
        <v>0</v>
      </c>
    </row>
    <row r="177" spans="2:5" x14ac:dyDescent="0.35">
      <c r="B177" t="s">
        <v>405</v>
      </c>
      <c r="C177">
        <v>8</v>
      </c>
      <c r="D177">
        <v>8</v>
      </c>
      <c r="E177">
        <v>0</v>
      </c>
    </row>
    <row r="178" spans="2:5" x14ac:dyDescent="0.35">
      <c r="B178" t="s">
        <v>435</v>
      </c>
      <c r="C178">
        <v>22</v>
      </c>
      <c r="D178">
        <v>22</v>
      </c>
      <c r="E178">
        <v>0</v>
      </c>
    </row>
    <row r="179" spans="2:5" x14ac:dyDescent="0.35">
      <c r="B179" t="s">
        <v>431</v>
      </c>
      <c r="C179">
        <v>4</v>
      </c>
      <c r="D179">
        <v>4</v>
      </c>
      <c r="E179">
        <v>0</v>
      </c>
    </row>
    <row r="180" spans="2:5" x14ac:dyDescent="0.35">
      <c r="B180" t="s">
        <v>491</v>
      </c>
      <c r="C180">
        <v>4</v>
      </c>
      <c r="D180">
        <v>4</v>
      </c>
      <c r="E180">
        <v>0</v>
      </c>
    </row>
    <row r="181" spans="2:5" x14ac:dyDescent="0.35">
      <c r="B181" t="s">
        <v>489</v>
      </c>
      <c r="C181">
        <v>10</v>
      </c>
      <c r="D181">
        <v>10</v>
      </c>
      <c r="E181">
        <v>0</v>
      </c>
    </row>
    <row r="182" spans="2:5" x14ac:dyDescent="0.35">
      <c r="B182" t="s">
        <v>501</v>
      </c>
      <c r="C182">
        <v>1</v>
      </c>
      <c r="D182">
        <v>1</v>
      </c>
      <c r="E182">
        <v>0</v>
      </c>
    </row>
    <row r="183" spans="2:5" x14ac:dyDescent="0.35">
      <c r="B183" t="s">
        <v>518</v>
      </c>
      <c r="C183">
        <v>10</v>
      </c>
      <c r="D183">
        <v>10</v>
      </c>
      <c r="E183">
        <v>0</v>
      </c>
    </row>
    <row r="184" spans="2:5" x14ac:dyDescent="0.35">
      <c r="B184" t="s">
        <v>687</v>
      </c>
      <c r="C184">
        <v>1</v>
      </c>
      <c r="D184">
        <v>1</v>
      </c>
      <c r="E184">
        <v>0</v>
      </c>
    </row>
    <row r="185" spans="2:5" x14ac:dyDescent="0.35">
      <c r="B185" t="s">
        <v>748</v>
      </c>
      <c r="C185">
        <v>2</v>
      </c>
      <c r="D185">
        <v>2</v>
      </c>
      <c r="E185">
        <v>0</v>
      </c>
    </row>
    <row r="186" spans="2:5" x14ac:dyDescent="0.35">
      <c r="B186" t="s">
        <v>763</v>
      </c>
      <c r="C186">
        <v>8</v>
      </c>
      <c r="D186">
        <v>8</v>
      </c>
      <c r="E186">
        <v>0</v>
      </c>
    </row>
    <row r="187" spans="2:5" x14ac:dyDescent="0.35">
      <c r="B187" t="s">
        <v>765</v>
      </c>
      <c r="C187">
        <v>4</v>
      </c>
      <c r="D187">
        <v>1</v>
      </c>
      <c r="E187">
        <v>3</v>
      </c>
    </row>
    <row r="188" spans="2:5" x14ac:dyDescent="0.35">
      <c r="B188" t="s">
        <v>791</v>
      </c>
      <c r="C188">
        <v>1</v>
      </c>
      <c r="D188">
        <v>1</v>
      </c>
      <c r="E188">
        <v>0</v>
      </c>
    </row>
    <row r="189" spans="2:5" x14ac:dyDescent="0.35">
      <c r="B189" t="s">
        <v>842</v>
      </c>
      <c r="C189">
        <v>6</v>
      </c>
      <c r="D189">
        <v>6</v>
      </c>
      <c r="E189">
        <v>0</v>
      </c>
    </row>
    <row r="190" spans="2:5" x14ac:dyDescent="0.35">
      <c r="B190" t="s">
        <v>856</v>
      </c>
      <c r="C190">
        <v>1</v>
      </c>
      <c r="D190">
        <v>1</v>
      </c>
      <c r="E190">
        <v>0</v>
      </c>
    </row>
    <row r="191" spans="2:5" x14ac:dyDescent="0.35">
      <c r="B191" t="s">
        <v>925</v>
      </c>
      <c r="C191">
        <v>15</v>
      </c>
      <c r="D191">
        <v>1</v>
      </c>
      <c r="E191">
        <v>14</v>
      </c>
    </row>
    <row r="192" spans="2:5" x14ac:dyDescent="0.35">
      <c r="B192" t="s">
        <v>957</v>
      </c>
      <c r="C192">
        <v>12</v>
      </c>
      <c r="D192">
        <v>6</v>
      </c>
      <c r="E192">
        <v>6</v>
      </c>
    </row>
    <row r="193" spans="1:5" x14ac:dyDescent="0.35">
      <c r="B193" t="s">
        <v>958</v>
      </c>
      <c r="C193">
        <v>4</v>
      </c>
      <c r="D193">
        <v>4</v>
      </c>
      <c r="E193">
        <v>0</v>
      </c>
    </row>
    <row r="194" spans="1:5" x14ac:dyDescent="0.35">
      <c r="B194" t="s">
        <v>981</v>
      </c>
      <c r="C194">
        <v>3</v>
      </c>
      <c r="E194">
        <v>3</v>
      </c>
    </row>
    <row r="195" spans="1:5" x14ac:dyDescent="0.35">
      <c r="B195" t="s">
        <v>979</v>
      </c>
      <c r="C195">
        <v>5</v>
      </c>
      <c r="D195">
        <v>5</v>
      </c>
      <c r="E195">
        <v>0</v>
      </c>
    </row>
    <row r="196" spans="1:5" x14ac:dyDescent="0.35">
      <c r="B196" t="s">
        <v>980</v>
      </c>
      <c r="C196">
        <v>80</v>
      </c>
      <c r="D196">
        <v>6</v>
      </c>
      <c r="E196">
        <v>74</v>
      </c>
    </row>
    <row r="197" spans="1:5" x14ac:dyDescent="0.35">
      <c r="B197" t="s">
        <v>1022</v>
      </c>
      <c r="C197">
        <v>15</v>
      </c>
      <c r="D197">
        <v>5</v>
      </c>
      <c r="E197">
        <v>10</v>
      </c>
    </row>
    <row r="198" spans="1:5" x14ac:dyDescent="0.35">
      <c r="B198" t="s">
        <v>1098</v>
      </c>
      <c r="C198">
        <v>3</v>
      </c>
      <c r="D198">
        <v>3</v>
      </c>
      <c r="E198">
        <v>0</v>
      </c>
    </row>
    <row r="199" spans="1:5" x14ac:dyDescent="0.35">
      <c r="B199" t="s">
        <v>1114</v>
      </c>
      <c r="C199">
        <v>1</v>
      </c>
      <c r="D199">
        <v>1</v>
      </c>
      <c r="E199">
        <v>0</v>
      </c>
    </row>
    <row r="200" spans="1:5" x14ac:dyDescent="0.35">
      <c r="B200" t="s">
        <v>1115</v>
      </c>
      <c r="C200">
        <v>4</v>
      </c>
      <c r="D200">
        <v>4</v>
      </c>
      <c r="E200">
        <v>0</v>
      </c>
    </row>
    <row r="201" spans="1:5" x14ac:dyDescent="0.35">
      <c r="B201" t="s">
        <v>1116</v>
      </c>
      <c r="C201">
        <v>4</v>
      </c>
      <c r="D201">
        <v>4</v>
      </c>
      <c r="E201">
        <v>0</v>
      </c>
    </row>
    <row r="202" spans="1:5" x14ac:dyDescent="0.35">
      <c r="B202" t="s">
        <v>1131</v>
      </c>
      <c r="C202">
        <v>12</v>
      </c>
      <c r="D202">
        <v>2</v>
      </c>
      <c r="E202">
        <v>10</v>
      </c>
    </row>
    <row r="203" spans="1:5" x14ac:dyDescent="0.35">
      <c r="B203" t="s">
        <v>1149</v>
      </c>
      <c r="C203">
        <v>12</v>
      </c>
      <c r="D203">
        <v>6</v>
      </c>
      <c r="E203">
        <v>6</v>
      </c>
    </row>
    <row r="204" spans="1:5" x14ac:dyDescent="0.35">
      <c r="B204" t="s">
        <v>1147</v>
      </c>
      <c r="C204">
        <v>5</v>
      </c>
      <c r="D204">
        <v>5</v>
      </c>
      <c r="E204">
        <v>0</v>
      </c>
    </row>
    <row r="205" spans="1:5" x14ac:dyDescent="0.35">
      <c r="B205" t="s">
        <v>1170</v>
      </c>
      <c r="C205">
        <v>1</v>
      </c>
      <c r="D205">
        <v>1</v>
      </c>
      <c r="E205">
        <v>0</v>
      </c>
    </row>
    <row r="206" spans="1:5" x14ac:dyDescent="0.35">
      <c r="B206" t="s">
        <v>1186</v>
      </c>
      <c r="C206">
        <v>1</v>
      </c>
      <c r="E206">
        <v>1</v>
      </c>
    </row>
    <row r="207" spans="1:5" x14ac:dyDescent="0.35">
      <c r="A207" s="34" t="s">
        <v>188</v>
      </c>
      <c r="B207" s="34"/>
      <c r="C207" s="34">
        <v>497</v>
      </c>
      <c r="D207" s="34">
        <v>350</v>
      </c>
      <c r="E207" s="34">
        <v>147</v>
      </c>
    </row>
    <row r="208" spans="1:5" x14ac:dyDescent="0.35">
      <c r="A208">
        <v>12</v>
      </c>
      <c r="B208" t="s">
        <v>19</v>
      </c>
      <c r="C208">
        <v>12</v>
      </c>
      <c r="D208">
        <v>12</v>
      </c>
      <c r="E208">
        <v>0</v>
      </c>
    </row>
    <row r="209" spans="2:5" x14ac:dyDescent="0.35">
      <c r="B209" t="s">
        <v>179</v>
      </c>
      <c r="C209">
        <v>4</v>
      </c>
      <c r="D209">
        <v>4</v>
      </c>
      <c r="E209">
        <v>0</v>
      </c>
    </row>
    <row r="210" spans="2:5" x14ac:dyDescent="0.35">
      <c r="B210" t="s">
        <v>176</v>
      </c>
      <c r="C210">
        <v>16</v>
      </c>
      <c r="D210">
        <v>16</v>
      </c>
      <c r="E210">
        <v>0</v>
      </c>
    </row>
    <row r="211" spans="2:5" x14ac:dyDescent="0.35">
      <c r="B211" t="s">
        <v>16</v>
      </c>
      <c r="C211">
        <v>10</v>
      </c>
      <c r="D211">
        <v>10</v>
      </c>
      <c r="E211">
        <v>0</v>
      </c>
    </row>
    <row r="212" spans="2:5" x14ac:dyDescent="0.35">
      <c r="B212" t="s">
        <v>17</v>
      </c>
      <c r="C212">
        <v>2</v>
      </c>
      <c r="D212">
        <v>2</v>
      </c>
      <c r="E212">
        <v>0</v>
      </c>
    </row>
    <row r="213" spans="2:5" x14ac:dyDescent="0.35">
      <c r="B213" t="s">
        <v>64</v>
      </c>
      <c r="C213">
        <v>20</v>
      </c>
      <c r="D213">
        <v>20</v>
      </c>
      <c r="E213">
        <v>0</v>
      </c>
    </row>
    <row r="214" spans="2:5" x14ac:dyDescent="0.35">
      <c r="B214" t="s">
        <v>15</v>
      </c>
      <c r="C214">
        <v>1</v>
      </c>
      <c r="D214">
        <v>1</v>
      </c>
      <c r="E214">
        <v>0</v>
      </c>
    </row>
    <row r="215" spans="2:5" x14ac:dyDescent="0.35">
      <c r="B215" t="s">
        <v>14</v>
      </c>
      <c r="C215">
        <v>5</v>
      </c>
      <c r="D215">
        <v>5</v>
      </c>
      <c r="E215">
        <v>0</v>
      </c>
    </row>
    <row r="216" spans="2:5" x14ac:dyDescent="0.35">
      <c r="B216" t="s">
        <v>28</v>
      </c>
      <c r="C216">
        <v>40</v>
      </c>
      <c r="D216">
        <v>40</v>
      </c>
      <c r="E216">
        <v>0</v>
      </c>
    </row>
    <row r="217" spans="2:5" x14ac:dyDescent="0.35">
      <c r="B217" t="s">
        <v>236</v>
      </c>
      <c r="C217">
        <v>4</v>
      </c>
      <c r="D217">
        <v>4</v>
      </c>
      <c r="E217">
        <v>0</v>
      </c>
    </row>
    <row r="218" spans="2:5" x14ac:dyDescent="0.35">
      <c r="B218" t="s">
        <v>229</v>
      </c>
      <c r="C218">
        <v>2</v>
      </c>
      <c r="D218">
        <v>2</v>
      </c>
      <c r="E218">
        <v>0</v>
      </c>
    </row>
    <row r="219" spans="2:5" x14ac:dyDescent="0.35">
      <c r="B219" t="s">
        <v>233</v>
      </c>
      <c r="C219">
        <v>3</v>
      </c>
      <c r="D219">
        <v>3</v>
      </c>
      <c r="E219">
        <v>0</v>
      </c>
    </row>
    <row r="220" spans="2:5" x14ac:dyDescent="0.35">
      <c r="B220" t="s">
        <v>265</v>
      </c>
      <c r="C220">
        <v>1</v>
      </c>
      <c r="D220">
        <v>1</v>
      </c>
      <c r="E220">
        <v>0</v>
      </c>
    </row>
    <row r="221" spans="2:5" x14ac:dyDescent="0.35">
      <c r="B221" t="s">
        <v>356</v>
      </c>
      <c r="C221">
        <v>5</v>
      </c>
      <c r="D221">
        <v>5</v>
      </c>
      <c r="E221">
        <v>0</v>
      </c>
    </row>
    <row r="222" spans="2:5" x14ac:dyDescent="0.35">
      <c r="B222" t="s">
        <v>357</v>
      </c>
      <c r="C222">
        <v>1</v>
      </c>
      <c r="D222">
        <v>1</v>
      </c>
      <c r="E222">
        <v>0</v>
      </c>
    </row>
    <row r="223" spans="2:5" x14ac:dyDescent="0.35">
      <c r="B223" t="s">
        <v>358</v>
      </c>
      <c r="C223">
        <v>4</v>
      </c>
      <c r="D223">
        <v>4</v>
      </c>
      <c r="E223">
        <v>0</v>
      </c>
    </row>
    <row r="224" spans="2:5" x14ac:dyDescent="0.35">
      <c r="B224" t="s">
        <v>365</v>
      </c>
      <c r="C224">
        <v>1</v>
      </c>
      <c r="D224">
        <v>1</v>
      </c>
      <c r="E224">
        <v>0</v>
      </c>
    </row>
    <row r="225" spans="1:5" x14ac:dyDescent="0.35">
      <c r="B225" t="s">
        <v>405</v>
      </c>
      <c r="C225">
        <v>20</v>
      </c>
      <c r="D225">
        <v>20</v>
      </c>
      <c r="E225">
        <v>0</v>
      </c>
    </row>
    <row r="226" spans="1:5" x14ac:dyDescent="0.35">
      <c r="B226" t="s">
        <v>435</v>
      </c>
      <c r="C226">
        <v>1</v>
      </c>
      <c r="D226">
        <v>1</v>
      </c>
      <c r="E226">
        <v>0</v>
      </c>
    </row>
    <row r="227" spans="1:5" x14ac:dyDescent="0.35">
      <c r="B227" t="s">
        <v>489</v>
      </c>
      <c r="C227">
        <v>10</v>
      </c>
      <c r="D227">
        <v>10</v>
      </c>
      <c r="E227">
        <v>0</v>
      </c>
    </row>
    <row r="228" spans="1:5" x14ac:dyDescent="0.35">
      <c r="B228" t="s">
        <v>575</v>
      </c>
      <c r="C228">
        <v>5</v>
      </c>
      <c r="D228">
        <v>5</v>
      </c>
      <c r="E228">
        <v>0</v>
      </c>
    </row>
    <row r="229" spans="1:5" x14ac:dyDescent="0.35">
      <c r="B229" t="s">
        <v>573</v>
      </c>
      <c r="C229">
        <v>2</v>
      </c>
      <c r="D229">
        <v>2</v>
      </c>
      <c r="E229">
        <v>0</v>
      </c>
    </row>
    <row r="230" spans="1:5" x14ac:dyDescent="0.35">
      <c r="B230" t="s">
        <v>568</v>
      </c>
      <c r="C230">
        <v>1</v>
      </c>
      <c r="D230">
        <v>1</v>
      </c>
      <c r="E230">
        <v>0</v>
      </c>
    </row>
    <row r="231" spans="1:5" x14ac:dyDescent="0.35">
      <c r="B231" t="s">
        <v>583</v>
      </c>
      <c r="C231">
        <v>10</v>
      </c>
      <c r="D231">
        <v>10</v>
      </c>
      <c r="E231">
        <v>0</v>
      </c>
    </row>
    <row r="232" spans="1:5" x14ac:dyDescent="0.35">
      <c r="B232" t="s">
        <v>591</v>
      </c>
      <c r="C232">
        <v>12</v>
      </c>
      <c r="D232">
        <v>12</v>
      </c>
      <c r="E232">
        <v>0</v>
      </c>
    </row>
    <row r="233" spans="1:5" x14ac:dyDescent="0.35">
      <c r="B233" t="s">
        <v>592</v>
      </c>
      <c r="C233">
        <v>2</v>
      </c>
      <c r="D233">
        <v>2</v>
      </c>
      <c r="E233">
        <v>0</v>
      </c>
    </row>
    <row r="234" spans="1:5" x14ac:dyDescent="0.35">
      <c r="B234" t="s">
        <v>593</v>
      </c>
      <c r="C234">
        <v>4</v>
      </c>
      <c r="D234">
        <v>4</v>
      </c>
      <c r="E234">
        <v>0</v>
      </c>
    </row>
    <row r="235" spans="1:5" x14ac:dyDescent="0.35">
      <c r="B235" t="s">
        <v>579</v>
      </c>
      <c r="C235">
        <v>20</v>
      </c>
      <c r="D235">
        <v>20</v>
      </c>
      <c r="E235">
        <v>0</v>
      </c>
    </row>
    <row r="236" spans="1:5" x14ac:dyDescent="0.35">
      <c r="B236" t="s">
        <v>614</v>
      </c>
      <c r="C236">
        <v>40</v>
      </c>
      <c r="D236">
        <v>40</v>
      </c>
      <c r="E236">
        <v>0</v>
      </c>
    </row>
    <row r="237" spans="1:5" x14ac:dyDescent="0.35">
      <c r="B237" t="s">
        <v>613</v>
      </c>
      <c r="C237">
        <v>20</v>
      </c>
      <c r="D237">
        <v>20</v>
      </c>
      <c r="E237">
        <v>0</v>
      </c>
    </row>
    <row r="238" spans="1:5" x14ac:dyDescent="0.35">
      <c r="A238" s="34" t="s">
        <v>208</v>
      </c>
      <c r="B238" s="34"/>
      <c r="C238" s="34">
        <v>278</v>
      </c>
      <c r="D238" s="34">
        <v>278</v>
      </c>
      <c r="E238" s="34">
        <v>0</v>
      </c>
    </row>
    <row r="239" spans="1:5" x14ac:dyDescent="0.35">
      <c r="A239">
        <v>1</v>
      </c>
      <c r="B239" t="s">
        <v>29</v>
      </c>
      <c r="C239">
        <v>20</v>
      </c>
      <c r="D239">
        <v>20</v>
      </c>
      <c r="E239">
        <v>0</v>
      </c>
    </row>
    <row r="240" spans="1:5" x14ac:dyDescent="0.35">
      <c r="B240" t="s">
        <v>28</v>
      </c>
      <c r="C240">
        <v>40</v>
      </c>
      <c r="D240">
        <v>40</v>
      </c>
      <c r="E240">
        <v>0</v>
      </c>
    </row>
    <row r="241" spans="2:5" x14ac:dyDescent="0.35">
      <c r="B241" t="s">
        <v>194</v>
      </c>
      <c r="C241">
        <v>32</v>
      </c>
      <c r="D241">
        <v>32</v>
      </c>
      <c r="E241">
        <v>0</v>
      </c>
    </row>
    <row r="242" spans="2:5" x14ac:dyDescent="0.35">
      <c r="B242" t="s">
        <v>213</v>
      </c>
      <c r="C242">
        <v>2</v>
      </c>
      <c r="D242">
        <v>2</v>
      </c>
      <c r="E242">
        <v>0</v>
      </c>
    </row>
    <row r="243" spans="2:5" x14ac:dyDescent="0.35">
      <c r="B243" t="s">
        <v>214</v>
      </c>
      <c r="C243">
        <v>2</v>
      </c>
      <c r="D243">
        <v>2</v>
      </c>
      <c r="E243">
        <v>0</v>
      </c>
    </row>
    <row r="244" spans="2:5" x14ac:dyDescent="0.35">
      <c r="B244" t="s">
        <v>229</v>
      </c>
      <c r="C244">
        <v>2</v>
      </c>
      <c r="D244">
        <v>2</v>
      </c>
      <c r="E244">
        <v>0</v>
      </c>
    </row>
    <row r="245" spans="2:5" x14ac:dyDescent="0.35">
      <c r="B245" t="s">
        <v>234</v>
      </c>
      <c r="C245">
        <v>2</v>
      </c>
      <c r="D245">
        <v>2</v>
      </c>
      <c r="E245">
        <v>0</v>
      </c>
    </row>
    <row r="246" spans="2:5" x14ac:dyDescent="0.35">
      <c r="B246" t="s">
        <v>231</v>
      </c>
      <c r="C246">
        <v>1</v>
      </c>
      <c r="D246">
        <v>1</v>
      </c>
      <c r="E246">
        <v>0</v>
      </c>
    </row>
    <row r="247" spans="2:5" x14ac:dyDescent="0.35">
      <c r="B247" t="s">
        <v>232</v>
      </c>
      <c r="C247">
        <v>3</v>
      </c>
      <c r="D247">
        <v>3</v>
      </c>
      <c r="E247">
        <v>0</v>
      </c>
    </row>
    <row r="248" spans="2:5" x14ac:dyDescent="0.35">
      <c r="B248" t="s">
        <v>233</v>
      </c>
      <c r="C248">
        <v>1</v>
      </c>
      <c r="D248">
        <v>1</v>
      </c>
      <c r="E248">
        <v>0</v>
      </c>
    </row>
    <row r="249" spans="2:5" x14ac:dyDescent="0.35">
      <c r="B249" t="s">
        <v>239</v>
      </c>
      <c r="C249">
        <v>16</v>
      </c>
      <c r="D249">
        <v>11</v>
      </c>
      <c r="E249">
        <v>5</v>
      </c>
    </row>
    <row r="250" spans="2:5" x14ac:dyDescent="0.35">
      <c r="B250" t="s">
        <v>238</v>
      </c>
      <c r="C250">
        <v>1</v>
      </c>
      <c r="D250">
        <v>1</v>
      </c>
      <c r="E250">
        <v>0</v>
      </c>
    </row>
    <row r="251" spans="2:5" x14ac:dyDescent="0.35">
      <c r="B251" t="s">
        <v>245</v>
      </c>
      <c r="C251">
        <v>12</v>
      </c>
      <c r="D251">
        <v>12</v>
      </c>
      <c r="E251">
        <v>0</v>
      </c>
    </row>
    <row r="252" spans="2:5" x14ac:dyDescent="0.35">
      <c r="B252" t="s">
        <v>265</v>
      </c>
      <c r="C252">
        <v>1</v>
      </c>
      <c r="D252">
        <v>1</v>
      </c>
      <c r="E252">
        <v>0</v>
      </c>
    </row>
    <row r="253" spans="2:5" x14ac:dyDescent="0.35">
      <c r="B253" t="s">
        <v>405</v>
      </c>
      <c r="C253">
        <v>20</v>
      </c>
      <c r="D253">
        <v>20</v>
      </c>
      <c r="E253">
        <v>0</v>
      </c>
    </row>
    <row r="254" spans="2:5" x14ac:dyDescent="0.35">
      <c r="B254" t="s">
        <v>489</v>
      </c>
      <c r="C254">
        <v>17</v>
      </c>
      <c r="D254">
        <v>17</v>
      </c>
      <c r="E254">
        <v>0</v>
      </c>
    </row>
    <row r="255" spans="2:5" x14ac:dyDescent="0.35">
      <c r="B255" t="s">
        <v>583</v>
      </c>
      <c r="C255">
        <v>16</v>
      </c>
      <c r="D255">
        <v>16</v>
      </c>
      <c r="E255">
        <v>0</v>
      </c>
    </row>
    <row r="256" spans="2:5" x14ac:dyDescent="0.35">
      <c r="B256" t="s">
        <v>624</v>
      </c>
      <c r="C256">
        <v>44</v>
      </c>
      <c r="D256">
        <v>44</v>
      </c>
      <c r="E256">
        <v>0</v>
      </c>
    </row>
    <row r="257" spans="1:5" x14ac:dyDescent="0.35">
      <c r="B257" t="s">
        <v>625</v>
      </c>
      <c r="C257">
        <v>13</v>
      </c>
      <c r="D257">
        <v>13</v>
      </c>
      <c r="E257">
        <v>0</v>
      </c>
    </row>
    <row r="258" spans="1:5" x14ac:dyDescent="0.35">
      <c r="B258" t="s">
        <v>656</v>
      </c>
      <c r="C258">
        <v>1</v>
      </c>
      <c r="D258">
        <v>1</v>
      </c>
      <c r="E258">
        <v>0</v>
      </c>
    </row>
    <row r="259" spans="1:5" x14ac:dyDescent="0.35">
      <c r="B259" t="s">
        <v>643</v>
      </c>
      <c r="C259">
        <v>4</v>
      </c>
      <c r="D259">
        <v>4</v>
      </c>
      <c r="E259">
        <v>0</v>
      </c>
    </row>
    <row r="260" spans="1:5" x14ac:dyDescent="0.35">
      <c r="B260" t="s">
        <v>632</v>
      </c>
      <c r="C260">
        <v>20</v>
      </c>
      <c r="D260">
        <v>20</v>
      </c>
      <c r="E260">
        <v>0</v>
      </c>
    </row>
    <row r="261" spans="1:5" x14ac:dyDescent="0.35">
      <c r="B261" t="s">
        <v>653</v>
      </c>
      <c r="C261">
        <v>2</v>
      </c>
      <c r="D261">
        <v>2</v>
      </c>
      <c r="E261">
        <v>0</v>
      </c>
    </row>
    <row r="262" spans="1:5" x14ac:dyDescent="0.35">
      <c r="B262" t="s">
        <v>655</v>
      </c>
      <c r="C262">
        <v>10</v>
      </c>
      <c r="D262">
        <v>10</v>
      </c>
      <c r="E262">
        <v>0</v>
      </c>
    </row>
    <row r="263" spans="1:5" x14ac:dyDescent="0.35">
      <c r="B263" t="s">
        <v>683</v>
      </c>
      <c r="C263">
        <v>12</v>
      </c>
      <c r="D263">
        <v>11</v>
      </c>
      <c r="E263">
        <v>1</v>
      </c>
    </row>
    <row r="264" spans="1:5" x14ac:dyDescent="0.35">
      <c r="A264" s="34" t="s">
        <v>244</v>
      </c>
      <c r="B264" s="34"/>
      <c r="C264" s="34">
        <v>294</v>
      </c>
      <c r="D264" s="34">
        <v>288</v>
      </c>
      <c r="E264" s="34">
        <v>6</v>
      </c>
    </row>
    <row r="265" spans="1:5" x14ac:dyDescent="0.35">
      <c r="A265">
        <v>2</v>
      </c>
      <c r="B265" t="s">
        <v>19</v>
      </c>
      <c r="C265">
        <v>32</v>
      </c>
      <c r="D265">
        <v>32</v>
      </c>
      <c r="E265">
        <v>0</v>
      </c>
    </row>
    <row r="266" spans="1:5" x14ac:dyDescent="0.35">
      <c r="B266" t="s">
        <v>16</v>
      </c>
      <c r="C266">
        <v>11</v>
      </c>
      <c r="D266">
        <v>11</v>
      </c>
      <c r="E266">
        <v>0</v>
      </c>
    </row>
    <row r="267" spans="1:5" x14ac:dyDescent="0.35">
      <c r="B267" t="s">
        <v>29</v>
      </c>
      <c r="C267">
        <v>40</v>
      </c>
      <c r="D267">
        <v>40</v>
      </c>
      <c r="E267">
        <v>0</v>
      </c>
    </row>
    <row r="268" spans="1:5" x14ac:dyDescent="0.35">
      <c r="B268" t="s">
        <v>64</v>
      </c>
      <c r="C268">
        <v>20</v>
      </c>
      <c r="D268">
        <v>20</v>
      </c>
      <c r="E268">
        <v>0</v>
      </c>
    </row>
    <row r="269" spans="1:5" x14ac:dyDescent="0.35">
      <c r="B269" t="s">
        <v>28</v>
      </c>
      <c r="C269">
        <v>40</v>
      </c>
      <c r="D269">
        <v>40</v>
      </c>
      <c r="E269">
        <v>0</v>
      </c>
    </row>
    <row r="270" spans="1:5" x14ac:dyDescent="0.35">
      <c r="B270" t="s">
        <v>194</v>
      </c>
      <c r="C270">
        <v>20</v>
      </c>
      <c r="D270">
        <v>20</v>
      </c>
      <c r="E270">
        <v>0</v>
      </c>
    </row>
    <row r="271" spans="1:5" x14ac:dyDescent="0.35">
      <c r="B271" t="s">
        <v>229</v>
      </c>
      <c r="C271">
        <v>1</v>
      </c>
      <c r="D271">
        <v>1</v>
      </c>
      <c r="E271">
        <v>0</v>
      </c>
    </row>
    <row r="272" spans="1:5" x14ac:dyDescent="0.35">
      <c r="B272" t="s">
        <v>233</v>
      </c>
      <c r="C272">
        <v>2</v>
      </c>
      <c r="D272">
        <v>2</v>
      </c>
      <c r="E272">
        <v>0</v>
      </c>
    </row>
    <row r="273" spans="1:5" x14ac:dyDescent="0.35">
      <c r="B273" t="s">
        <v>245</v>
      </c>
      <c r="C273">
        <v>12</v>
      </c>
      <c r="D273">
        <v>12</v>
      </c>
      <c r="E273">
        <v>0</v>
      </c>
    </row>
    <row r="274" spans="1:5" x14ac:dyDescent="0.35">
      <c r="B274" t="s">
        <v>254</v>
      </c>
      <c r="C274">
        <v>2</v>
      </c>
      <c r="D274">
        <v>2</v>
      </c>
      <c r="E274">
        <v>0</v>
      </c>
    </row>
    <row r="275" spans="1:5" x14ac:dyDescent="0.35">
      <c r="B275" t="s">
        <v>270</v>
      </c>
      <c r="C275">
        <v>3</v>
      </c>
      <c r="D275">
        <v>3</v>
      </c>
      <c r="E275">
        <v>0</v>
      </c>
    </row>
    <row r="276" spans="1:5" x14ac:dyDescent="0.35">
      <c r="B276" t="s">
        <v>405</v>
      </c>
      <c r="C276">
        <v>1</v>
      </c>
      <c r="D276">
        <v>1</v>
      </c>
      <c r="E276">
        <v>0</v>
      </c>
    </row>
    <row r="277" spans="1:5" x14ac:dyDescent="0.35">
      <c r="B277" t="s">
        <v>625</v>
      </c>
      <c r="C277">
        <v>10</v>
      </c>
      <c r="D277">
        <v>10</v>
      </c>
      <c r="E277">
        <v>0</v>
      </c>
    </row>
    <row r="278" spans="1:5" x14ac:dyDescent="0.35">
      <c r="B278" t="s">
        <v>656</v>
      </c>
      <c r="C278">
        <v>1</v>
      </c>
      <c r="D278">
        <v>1</v>
      </c>
      <c r="E278">
        <v>0</v>
      </c>
    </row>
    <row r="279" spans="1:5" x14ac:dyDescent="0.35">
      <c r="B279" t="s">
        <v>687</v>
      </c>
      <c r="C279">
        <v>1</v>
      </c>
      <c r="D279">
        <v>1</v>
      </c>
      <c r="E279">
        <v>0</v>
      </c>
    </row>
    <row r="280" spans="1:5" x14ac:dyDescent="0.35">
      <c r="A280" s="34" t="s">
        <v>269</v>
      </c>
      <c r="B280" s="34"/>
      <c r="C280" s="34">
        <v>196</v>
      </c>
      <c r="D280" s="34">
        <v>196</v>
      </c>
      <c r="E280" s="34">
        <v>0</v>
      </c>
    </row>
    <row r="281" spans="1:5" x14ac:dyDescent="0.35">
      <c r="A281">
        <v>4</v>
      </c>
      <c r="B281" t="s">
        <v>19</v>
      </c>
      <c r="C281">
        <v>40</v>
      </c>
      <c r="D281">
        <v>40</v>
      </c>
      <c r="E281">
        <v>0</v>
      </c>
    </row>
    <row r="282" spans="1:5" x14ac:dyDescent="0.35">
      <c r="B282" t="s">
        <v>16</v>
      </c>
      <c r="C282">
        <v>5</v>
      </c>
      <c r="D282">
        <v>5</v>
      </c>
      <c r="E282">
        <v>0</v>
      </c>
    </row>
    <row r="283" spans="1:5" x14ac:dyDescent="0.35">
      <c r="B283" t="s">
        <v>17</v>
      </c>
      <c r="C283">
        <v>2</v>
      </c>
      <c r="D283">
        <v>2</v>
      </c>
      <c r="E283">
        <v>0</v>
      </c>
    </row>
    <row r="284" spans="1:5" x14ac:dyDescent="0.35">
      <c r="B284" t="s">
        <v>29</v>
      </c>
      <c r="C284">
        <v>31</v>
      </c>
      <c r="D284">
        <v>31</v>
      </c>
      <c r="E284">
        <v>0</v>
      </c>
    </row>
    <row r="285" spans="1:5" x14ac:dyDescent="0.35">
      <c r="B285" t="s">
        <v>64</v>
      </c>
      <c r="C285">
        <v>15</v>
      </c>
      <c r="D285">
        <v>15</v>
      </c>
      <c r="E285">
        <v>0</v>
      </c>
    </row>
    <row r="286" spans="1:5" x14ac:dyDescent="0.35">
      <c r="B286" t="s">
        <v>28</v>
      </c>
      <c r="C286">
        <v>120</v>
      </c>
      <c r="D286">
        <v>120</v>
      </c>
      <c r="E286">
        <v>0</v>
      </c>
    </row>
    <row r="287" spans="1:5" x14ac:dyDescent="0.35">
      <c r="B287" t="s">
        <v>233</v>
      </c>
      <c r="C287">
        <v>2</v>
      </c>
      <c r="D287">
        <v>2</v>
      </c>
      <c r="E287">
        <v>0</v>
      </c>
    </row>
    <row r="288" spans="1:5" x14ac:dyDescent="0.35">
      <c r="B288" t="s">
        <v>356</v>
      </c>
      <c r="C288">
        <v>6</v>
      </c>
      <c r="D288">
        <v>6</v>
      </c>
      <c r="E288">
        <v>0</v>
      </c>
    </row>
    <row r="289" spans="2:5" x14ac:dyDescent="0.35">
      <c r="B289" t="s">
        <v>357</v>
      </c>
      <c r="C289">
        <v>2</v>
      </c>
      <c r="D289">
        <v>2</v>
      </c>
      <c r="E289">
        <v>0</v>
      </c>
    </row>
    <row r="290" spans="2:5" x14ac:dyDescent="0.35">
      <c r="B290" t="s">
        <v>358</v>
      </c>
      <c r="C290">
        <v>2</v>
      </c>
      <c r="D290">
        <v>2</v>
      </c>
      <c r="E290">
        <v>0</v>
      </c>
    </row>
    <row r="291" spans="2:5" x14ac:dyDescent="0.35">
      <c r="B291" t="s">
        <v>359</v>
      </c>
      <c r="C291">
        <v>10</v>
      </c>
      <c r="D291">
        <v>10</v>
      </c>
      <c r="E291">
        <v>0</v>
      </c>
    </row>
    <row r="292" spans="2:5" x14ac:dyDescent="0.35">
      <c r="B292" t="s">
        <v>643</v>
      </c>
      <c r="C292">
        <v>4</v>
      </c>
      <c r="D292">
        <v>4</v>
      </c>
      <c r="E292">
        <v>0</v>
      </c>
    </row>
    <row r="293" spans="2:5" x14ac:dyDescent="0.35">
      <c r="B293" t="s">
        <v>675</v>
      </c>
      <c r="C293">
        <v>2</v>
      </c>
      <c r="D293">
        <v>2</v>
      </c>
      <c r="E293">
        <v>0</v>
      </c>
    </row>
    <row r="294" spans="2:5" x14ac:dyDescent="0.35">
      <c r="B294" t="s">
        <v>687</v>
      </c>
      <c r="C294">
        <v>1</v>
      </c>
      <c r="D294">
        <v>1</v>
      </c>
      <c r="E294">
        <v>0</v>
      </c>
    </row>
    <row r="295" spans="2:5" x14ac:dyDescent="0.35">
      <c r="B295" t="s">
        <v>729</v>
      </c>
      <c r="C295">
        <v>83</v>
      </c>
      <c r="D295">
        <v>83</v>
      </c>
      <c r="E295">
        <v>0</v>
      </c>
    </row>
    <row r="296" spans="2:5" x14ac:dyDescent="0.35">
      <c r="B296" t="s">
        <v>744</v>
      </c>
      <c r="C296">
        <v>19</v>
      </c>
      <c r="D296">
        <v>19</v>
      </c>
      <c r="E296">
        <v>0</v>
      </c>
    </row>
    <row r="297" spans="2:5" x14ac:dyDescent="0.35">
      <c r="B297" t="s">
        <v>763</v>
      </c>
      <c r="C297">
        <v>20</v>
      </c>
      <c r="D297">
        <v>20</v>
      </c>
      <c r="E297">
        <v>0</v>
      </c>
    </row>
    <row r="298" spans="2:5" x14ac:dyDescent="0.35">
      <c r="B298" t="s">
        <v>765</v>
      </c>
      <c r="C298">
        <v>9</v>
      </c>
      <c r="D298">
        <v>9</v>
      </c>
      <c r="E298">
        <v>0</v>
      </c>
    </row>
    <row r="299" spans="2:5" x14ac:dyDescent="0.35">
      <c r="B299" t="s">
        <v>764</v>
      </c>
      <c r="C299">
        <v>1</v>
      </c>
      <c r="D299">
        <v>1</v>
      </c>
      <c r="E299">
        <v>0</v>
      </c>
    </row>
    <row r="300" spans="2:5" x14ac:dyDescent="0.35">
      <c r="B300" t="s">
        <v>787</v>
      </c>
      <c r="C300">
        <v>2</v>
      </c>
      <c r="D300">
        <v>2</v>
      </c>
      <c r="E300">
        <v>0</v>
      </c>
    </row>
    <row r="301" spans="2:5" x14ac:dyDescent="0.35">
      <c r="B301" t="s">
        <v>791</v>
      </c>
      <c r="C301">
        <v>21</v>
      </c>
      <c r="D301">
        <v>21</v>
      </c>
      <c r="E301">
        <v>0</v>
      </c>
    </row>
    <row r="302" spans="2:5" x14ac:dyDescent="0.35">
      <c r="B302" t="s">
        <v>813</v>
      </c>
      <c r="C302">
        <v>28</v>
      </c>
      <c r="D302">
        <v>28</v>
      </c>
      <c r="E302">
        <v>0</v>
      </c>
    </row>
    <row r="303" spans="2:5" x14ac:dyDescent="0.35">
      <c r="B303" t="s">
        <v>814</v>
      </c>
      <c r="C303">
        <v>15</v>
      </c>
      <c r="D303">
        <v>15</v>
      </c>
      <c r="E303">
        <v>0</v>
      </c>
    </row>
    <row r="304" spans="2:5" x14ac:dyDescent="0.35">
      <c r="B304" t="s">
        <v>815</v>
      </c>
      <c r="C304">
        <v>20</v>
      </c>
      <c r="D304">
        <v>20</v>
      </c>
      <c r="E304">
        <v>0</v>
      </c>
    </row>
    <row r="305" spans="1:5" x14ac:dyDescent="0.35">
      <c r="B305" t="s">
        <v>816</v>
      </c>
      <c r="C305">
        <v>10</v>
      </c>
      <c r="D305">
        <v>10</v>
      </c>
      <c r="E305">
        <v>0</v>
      </c>
    </row>
    <row r="306" spans="1:5" x14ac:dyDescent="0.35">
      <c r="B306" t="s">
        <v>818</v>
      </c>
      <c r="C306">
        <v>1</v>
      </c>
      <c r="D306">
        <v>1</v>
      </c>
      <c r="E306">
        <v>0</v>
      </c>
    </row>
    <row r="307" spans="1:5" x14ac:dyDescent="0.35">
      <c r="B307" t="s">
        <v>900</v>
      </c>
      <c r="C307">
        <v>20</v>
      </c>
      <c r="D307">
        <v>20</v>
      </c>
      <c r="E307">
        <v>0</v>
      </c>
    </row>
    <row r="308" spans="1:5" x14ac:dyDescent="0.35">
      <c r="B308" t="s">
        <v>981</v>
      </c>
      <c r="C308">
        <v>3</v>
      </c>
      <c r="D308">
        <v>3</v>
      </c>
      <c r="E308">
        <v>0</v>
      </c>
    </row>
    <row r="309" spans="1:5" x14ac:dyDescent="0.35">
      <c r="A309" s="34" t="s">
        <v>340</v>
      </c>
      <c r="B309" s="34"/>
      <c r="C309" s="34">
        <v>494</v>
      </c>
      <c r="D309" s="34">
        <v>494</v>
      </c>
      <c r="E309" s="34">
        <v>0</v>
      </c>
    </row>
    <row r="310" spans="1:5" x14ac:dyDescent="0.35">
      <c r="A310">
        <v>5</v>
      </c>
      <c r="B310" t="s">
        <v>19</v>
      </c>
      <c r="C310">
        <v>12</v>
      </c>
      <c r="D310">
        <v>12</v>
      </c>
      <c r="E310">
        <v>0</v>
      </c>
    </row>
    <row r="311" spans="1:5" x14ac:dyDescent="0.35">
      <c r="B311" t="s">
        <v>31</v>
      </c>
      <c r="C311">
        <v>4</v>
      </c>
      <c r="D311">
        <v>4</v>
      </c>
      <c r="E311">
        <v>0</v>
      </c>
    </row>
    <row r="312" spans="1:5" x14ac:dyDescent="0.35">
      <c r="B312" t="s">
        <v>29</v>
      </c>
      <c r="C312">
        <v>20</v>
      </c>
      <c r="D312">
        <v>20</v>
      </c>
      <c r="E312">
        <v>0</v>
      </c>
    </row>
    <row r="313" spans="1:5" x14ac:dyDescent="0.35">
      <c r="B313" t="s">
        <v>64</v>
      </c>
      <c r="C313">
        <v>25</v>
      </c>
      <c r="D313">
        <v>25</v>
      </c>
      <c r="E313">
        <v>0</v>
      </c>
    </row>
    <row r="314" spans="1:5" x14ac:dyDescent="0.35">
      <c r="B314" t="s">
        <v>233</v>
      </c>
      <c r="C314">
        <v>2</v>
      </c>
      <c r="D314">
        <v>2</v>
      </c>
      <c r="E314">
        <v>0</v>
      </c>
    </row>
    <row r="315" spans="1:5" x14ac:dyDescent="0.35">
      <c r="B315" t="s">
        <v>245</v>
      </c>
      <c r="C315">
        <v>12</v>
      </c>
      <c r="D315">
        <v>12</v>
      </c>
      <c r="E315">
        <v>0</v>
      </c>
    </row>
    <row r="316" spans="1:5" x14ac:dyDescent="0.35">
      <c r="B316" t="s">
        <v>356</v>
      </c>
      <c r="C316">
        <v>3</v>
      </c>
      <c r="D316">
        <v>3</v>
      </c>
      <c r="E316">
        <v>0</v>
      </c>
    </row>
    <row r="317" spans="1:5" x14ac:dyDescent="0.35">
      <c r="B317" t="s">
        <v>365</v>
      </c>
      <c r="C317">
        <v>1</v>
      </c>
      <c r="D317">
        <v>1</v>
      </c>
      <c r="E317">
        <v>0</v>
      </c>
    </row>
    <row r="318" spans="1:5" x14ac:dyDescent="0.35">
      <c r="B318" t="s">
        <v>373</v>
      </c>
      <c r="C318">
        <v>1</v>
      </c>
      <c r="D318">
        <v>1</v>
      </c>
      <c r="E318">
        <v>0</v>
      </c>
    </row>
    <row r="319" spans="1:5" x14ac:dyDescent="0.35">
      <c r="B319" t="s">
        <v>375</v>
      </c>
      <c r="C319">
        <v>16</v>
      </c>
      <c r="D319">
        <v>16</v>
      </c>
      <c r="E319">
        <v>0</v>
      </c>
    </row>
    <row r="320" spans="1:5" x14ac:dyDescent="0.35">
      <c r="B320" t="s">
        <v>378</v>
      </c>
      <c r="C320">
        <v>16</v>
      </c>
      <c r="D320">
        <v>16</v>
      </c>
      <c r="E320">
        <v>0</v>
      </c>
    </row>
    <row r="321" spans="2:5" x14ac:dyDescent="0.35">
      <c r="B321" t="s">
        <v>687</v>
      </c>
      <c r="C321">
        <v>1</v>
      </c>
      <c r="D321">
        <v>1</v>
      </c>
      <c r="E321">
        <v>0</v>
      </c>
    </row>
    <row r="322" spans="2:5" x14ac:dyDescent="0.35">
      <c r="B322" t="s">
        <v>729</v>
      </c>
      <c r="C322">
        <v>60</v>
      </c>
      <c r="D322">
        <v>60</v>
      </c>
      <c r="E322">
        <v>0</v>
      </c>
    </row>
    <row r="323" spans="2:5" x14ac:dyDescent="0.35">
      <c r="B323" t="s">
        <v>728</v>
      </c>
      <c r="C323">
        <v>16</v>
      </c>
      <c r="D323">
        <v>16</v>
      </c>
      <c r="E323">
        <v>0</v>
      </c>
    </row>
    <row r="324" spans="2:5" x14ac:dyDescent="0.35">
      <c r="B324" t="s">
        <v>763</v>
      </c>
      <c r="C324">
        <v>24</v>
      </c>
      <c r="D324">
        <v>24</v>
      </c>
      <c r="E324">
        <v>0</v>
      </c>
    </row>
    <row r="325" spans="2:5" x14ac:dyDescent="0.35">
      <c r="B325" t="s">
        <v>765</v>
      </c>
      <c r="C325">
        <v>5</v>
      </c>
      <c r="D325">
        <v>5</v>
      </c>
      <c r="E325">
        <v>0</v>
      </c>
    </row>
    <row r="326" spans="2:5" x14ac:dyDescent="0.35">
      <c r="B326" t="s">
        <v>813</v>
      </c>
      <c r="C326">
        <v>20</v>
      </c>
      <c r="D326">
        <v>20</v>
      </c>
      <c r="E326">
        <v>0</v>
      </c>
    </row>
    <row r="327" spans="2:5" x14ac:dyDescent="0.35">
      <c r="B327" t="s">
        <v>818</v>
      </c>
      <c r="C327">
        <v>1</v>
      </c>
      <c r="D327">
        <v>1</v>
      </c>
      <c r="E327">
        <v>0</v>
      </c>
    </row>
    <row r="328" spans="2:5" x14ac:dyDescent="0.35">
      <c r="B328" t="s">
        <v>841</v>
      </c>
      <c r="C328">
        <v>2</v>
      </c>
      <c r="D328">
        <v>2</v>
      </c>
      <c r="E328">
        <v>0</v>
      </c>
    </row>
    <row r="329" spans="2:5" x14ac:dyDescent="0.35">
      <c r="B329" t="s">
        <v>843</v>
      </c>
      <c r="C329">
        <v>1</v>
      </c>
      <c r="D329">
        <v>1</v>
      </c>
      <c r="E329">
        <v>0</v>
      </c>
    </row>
    <row r="330" spans="2:5" x14ac:dyDescent="0.35">
      <c r="B330" t="s">
        <v>842</v>
      </c>
      <c r="C330">
        <v>1</v>
      </c>
      <c r="D330">
        <v>1</v>
      </c>
      <c r="E330">
        <v>0</v>
      </c>
    </row>
    <row r="331" spans="2:5" x14ac:dyDescent="0.35">
      <c r="B331" t="s">
        <v>856</v>
      </c>
      <c r="C331">
        <v>1</v>
      </c>
      <c r="D331">
        <v>1</v>
      </c>
      <c r="E331">
        <v>0</v>
      </c>
    </row>
    <row r="332" spans="2:5" x14ac:dyDescent="0.35">
      <c r="B332" t="s">
        <v>862</v>
      </c>
      <c r="C332">
        <v>20</v>
      </c>
      <c r="D332">
        <v>20</v>
      </c>
      <c r="E332">
        <v>0</v>
      </c>
    </row>
    <row r="333" spans="2:5" x14ac:dyDescent="0.35">
      <c r="B333" t="s">
        <v>869</v>
      </c>
      <c r="C333">
        <v>1</v>
      </c>
      <c r="D333">
        <v>1</v>
      </c>
      <c r="E333">
        <v>0</v>
      </c>
    </row>
    <row r="334" spans="2:5" x14ac:dyDescent="0.35">
      <c r="B334" t="s">
        <v>880</v>
      </c>
      <c r="C334">
        <v>40</v>
      </c>
      <c r="D334">
        <v>40</v>
      </c>
      <c r="E334">
        <v>0</v>
      </c>
    </row>
    <row r="335" spans="2:5" x14ac:dyDescent="0.35">
      <c r="B335" t="s">
        <v>895</v>
      </c>
      <c r="C335">
        <v>15</v>
      </c>
      <c r="D335">
        <v>3</v>
      </c>
      <c r="E335">
        <v>12</v>
      </c>
    </row>
    <row r="336" spans="2:5" x14ac:dyDescent="0.35">
      <c r="B336" t="s">
        <v>892</v>
      </c>
      <c r="C336">
        <v>1</v>
      </c>
      <c r="D336">
        <v>1</v>
      </c>
      <c r="E336">
        <v>0</v>
      </c>
    </row>
    <row r="337" spans="1:5" x14ac:dyDescent="0.35">
      <c r="B337" t="s">
        <v>925</v>
      </c>
      <c r="C337">
        <v>15</v>
      </c>
      <c r="D337">
        <v>15</v>
      </c>
      <c r="E337">
        <v>0</v>
      </c>
    </row>
    <row r="338" spans="1:5" x14ac:dyDescent="0.35">
      <c r="A338" s="34" t="s">
        <v>395</v>
      </c>
      <c r="B338" s="34"/>
      <c r="C338" s="34">
        <v>336</v>
      </c>
      <c r="D338" s="34">
        <v>324</v>
      </c>
      <c r="E338" s="34">
        <v>12</v>
      </c>
    </row>
    <row r="339" spans="1:5" x14ac:dyDescent="0.35">
      <c r="A339" t="s">
        <v>181</v>
      </c>
      <c r="C339">
        <v>4077</v>
      </c>
      <c r="D339">
        <v>3874</v>
      </c>
      <c r="E339">
        <v>203</v>
      </c>
    </row>
  </sheetData>
  <pageMargins left="0.39370078740157483" right="0" top="0.19685039370078741" bottom="0.19685039370078741" header="0" footer="0"/>
  <pageSetup orientation="portrait" r:id="rId3"/>
  <headerFooter>
    <oddFooter>&amp;R&amp;A&amp;D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A64E4-B0F4-480E-B8C3-EEF26E3C11F6}">
  <sheetPr filterMode="1">
    <pageSetUpPr fitToPage="1"/>
  </sheetPr>
  <dimension ref="B4:E148"/>
  <sheetViews>
    <sheetView workbookViewId="0">
      <selection activeCell="E149" sqref="E149"/>
    </sheetView>
  </sheetViews>
  <sheetFormatPr defaultRowHeight="14.5" x14ac:dyDescent="0.35"/>
  <cols>
    <col min="2" max="2" width="43.1796875" bestFit="1" customWidth="1"/>
    <col min="3" max="3" width="17.36328125" bestFit="1" customWidth="1"/>
    <col min="4" max="4" width="18.6328125" bestFit="1" customWidth="1"/>
    <col min="5" max="5" width="21" bestFit="1" customWidth="1"/>
  </cols>
  <sheetData>
    <row r="4" spans="2:5" x14ac:dyDescent="0.35">
      <c r="C4" t="s">
        <v>190</v>
      </c>
    </row>
    <row r="5" spans="2:5" x14ac:dyDescent="0.35">
      <c r="B5" t="s">
        <v>178</v>
      </c>
      <c r="C5" t="s">
        <v>191</v>
      </c>
      <c r="D5" t="s">
        <v>192</v>
      </c>
      <c r="E5" t="s">
        <v>189</v>
      </c>
    </row>
    <row r="6" spans="2:5" hidden="1" x14ac:dyDescent="0.35">
      <c r="B6" t="s">
        <v>134</v>
      </c>
      <c r="C6">
        <v>2</v>
      </c>
      <c r="D6">
        <v>2</v>
      </c>
      <c r="E6">
        <v>0</v>
      </c>
    </row>
    <row r="7" spans="2:5" hidden="1" x14ac:dyDescent="0.35">
      <c r="B7" t="s">
        <v>63</v>
      </c>
      <c r="C7">
        <v>2</v>
      </c>
      <c r="D7">
        <v>2</v>
      </c>
      <c r="E7">
        <v>0</v>
      </c>
    </row>
    <row r="8" spans="2:5" x14ac:dyDescent="0.35">
      <c r="B8" t="s">
        <v>19</v>
      </c>
      <c r="C8">
        <v>252</v>
      </c>
      <c r="D8">
        <v>232</v>
      </c>
      <c r="E8">
        <v>20</v>
      </c>
    </row>
    <row r="9" spans="2:5" hidden="1" x14ac:dyDescent="0.35">
      <c r="B9" t="s">
        <v>179</v>
      </c>
      <c r="C9">
        <v>4</v>
      </c>
      <c r="D9">
        <v>4</v>
      </c>
      <c r="E9">
        <v>0</v>
      </c>
    </row>
    <row r="10" spans="2:5" hidden="1" x14ac:dyDescent="0.35">
      <c r="B10" t="s">
        <v>180</v>
      </c>
      <c r="C10">
        <v>61</v>
      </c>
      <c r="D10">
        <v>61</v>
      </c>
      <c r="E10">
        <v>0</v>
      </c>
    </row>
    <row r="11" spans="2:5" hidden="1" x14ac:dyDescent="0.35">
      <c r="B11" t="s">
        <v>176</v>
      </c>
      <c r="C11">
        <v>56</v>
      </c>
      <c r="D11">
        <v>56</v>
      </c>
      <c r="E11">
        <v>0</v>
      </c>
    </row>
    <row r="12" spans="2:5" hidden="1" x14ac:dyDescent="0.35">
      <c r="B12" t="s">
        <v>177</v>
      </c>
      <c r="C12">
        <v>42</v>
      </c>
      <c r="D12">
        <v>42</v>
      </c>
      <c r="E12">
        <v>0</v>
      </c>
    </row>
    <row r="13" spans="2:5" hidden="1" x14ac:dyDescent="0.35">
      <c r="B13" t="s">
        <v>16</v>
      </c>
      <c r="C13">
        <v>96</v>
      </c>
      <c r="D13">
        <v>96</v>
      </c>
      <c r="E13">
        <v>0</v>
      </c>
    </row>
    <row r="14" spans="2:5" hidden="1" x14ac:dyDescent="0.35">
      <c r="B14" t="s">
        <v>55</v>
      </c>
      <c r="C14">
        <v>4</v>
      </c>
      <c r="D14">
        <v>4</v>
      </c>
      <c r="E14">
        <v>0</v>
      </c>
    </row>
    <row r="15" spans="2:5" hidden="1" x14ac:dyDescent="0.35">
      <c r="B15" t="s">
        <v>17</v>
      </c>
      <c r="C15">
        <v>14</v>
      </c>
      <c r="D15">
        <v>14</v>
      </c>
      <c r="E15">
        <v>0</v>
      </c>
    </row>
    <row r="16" spans="2:5" hidden="1" x14ac:dyDescent="0.35">
      <c r="B16" t="s">
        <v>31</v>
      </c>
      <c r="C16">
        <v>13</v>
      </c>
      <c r="D16">
        <v>13</v>
      </c>
      <c r="E16">
        <v>0</v>
      </c>
    </row>
    <row r="17" spans="2:5" hidden="1" x14ac:dyDescent="0.35">
      <c r="B17" t="s">
        <v>29</v>
      </c>
      <c r="C17">
        <v>210</v>
      </c>
      <c r="D17">
        <v>210</v>
      </c>
      <c r="E17">
        <v>0</v>
      </c>
    </row>
    <row r="18" spans="2:5" hidden="1" x14ac:dyDescent="0.35">
      <c r="B18" t="s">
        <v>153</v>
      </c>
      <c r="C18">
        <v>1</v>
      </c>
      <c r="D18">
        <v>1</v>
      </c>
      <c r="E18">
        <v>0</v>
      </c>
    </row>
    <row r="19" spans="2:5" hidden="1" x14ac:dyDescent="0.35">
      <c r="B19" t="s">
        <v>139</v>
      </c>
      <c r="C19">
        <v>1</v>
      </c>
      <c r="D19">
        <v>1</v>
      </c>
      <c r="E19">
        <v>0</v>
      </c>
    </row>
    <row r="20" spans="2:5" hidden="1" x14ac:dyDescent="0.35">
      <c r="B20" t="s">
        <v>64</v>
      </c>
      <c r="C20">
        <v>132</v>
      </c>
      <c r="D20">
        <v>132</v>
      </c>
      <c r="E20">
        <v>0</v>
      </c>
    </row>
    <row r="21" spans="2:5" hidden="1" x14ac:dyDescent="0.35">
      <c r="B21" t="s">
        <v>15</v>
      </c>
      <c r="C21">
        <v>3</v>
      </c>
      <c r="D21">
        <v>3</v>
      </c>
      <c r="E21">
        <v>0</v>
      </c>
    </row>
    <row r="22" spans="2:5" hidden="1" x14ac:dyDescent="0.35">
      <c r="B22" t="s">
        <v>14</v>
      </c>
      <c r="C22">
        <v>7</v>
      </c>
      <c r="D22">
        <v>7</v>
      </c>
      <c r="E22">
        <v>0</v>
      </c>
    </row>
    <row r="23" spans="2:5" hidden="1" x14ac:dyDescent="0.35">
      <c r="B23" t="s">
        <v>28</v>
      </c>
      <c r="C23">
        <v>582</v>
      </c>
      <c r="D23">
        <v>582</v>
      </c>
      <c r="E23">
        <v>0</v>
      </c>
    </row>
    <row r="24" spans="2:5" hidden="1" x14ac:dyDescent="0.35">
      <c r="B24" t="s">
        <v>21</v>
      </c>
      <c r="C24">
        <v>1</v>
      </c>
      <c r="D24">
        <v>1</v>
      </c>
      <c r="E24">
        <v>0</v>
      </c>
    </row>
    <row r="25" spans="2:5" hidden="1" x14ac:dyDescent="0.35">
      <c r="B25" t="s">
        <v>37</v>
      </c>
      <c r="C25">
        <v>19</v>
      </c>
      <c r="D25">
        <v>19</v>
      </c>
      <c r="E25">
        <v>0</v>
      </c>
    </row>
    <row r="26" spans="2:5" hidden="1" x14ac:dyDescent="0.35">
      <c r="B26" t="s">
        <v>33</v>
      </c>
      <c r="C26">
        <v>2</v>
      </c>
      <c r="D26">
        <v>2</v>
      </c>
      <c r="E26">
        <v>0</v>
      </c>
    </row>
    <row r="27" spans="2:5" hidden="1" x14ac:dyDescent="0.35">
      <c r="B27" t="s">
        <v>194</v>
      </c>
      <c r="C27">
        <v>77</v>
      </c>
      <c r="D27">
        <v>77</v>
      </c>
      <c r="E27">
        <v>0</v>
      </c>
    </row>
    <row r="28" spans="2:5" hidden="1" x14ac:dyDescent="0.35">
      <c r="B28" t="s">
        <v>196</v>
      </c>
      <c r="C28">
        <v>3</v>
      </c>
      <c r="D28">
        <v>3</v>
      </c>
      <c r="E28">
        <v>0</v>
      </c>
    </row>
    <row r="29" spans="2:5" hidden="1" x14ac:dyDescent="0.35">
      <c r="B29" t="s">
        <v>236</v>
      </c>
      <c r="C29">
        <v>4</v>
      </c>
      <c r="D29">
        <v>4</v>
      </c>
      <c r="E29">
        <v>0</v>
      </c>
    </row>
    <row r="30" spans="2:5" hidden="1" x14ac:dyDescent="0.35">
      <c r="B30" t="s">
        <v>213</v>
      </c>
      <c r="C30">
        <v>2</v>
      </c>
      <c r="D30">
        <v>2</v>
      </c>
      <c r="E30">
        <v>0</v>
      </c>
    </row>
    <row r="31" spans="2:5" hidden="1" x14ac:dyDescent="0.35">
      <c r="B31" t="s">
        <v>214</v>
      </c>
      <c r="C31">
        <v>2</v>
      </c>
      <c r="D31">
        <v>2</v>
      </c>
      <c r="E31">
        <v>0</v>
      </c>
    </row>
    <row r="32" spans="2:5" hidden="1" x14ac:dyDescent="0.35">
      <c r="B32" t="s">
        <v>229</v>
      </c>
      <c r="C32">
        <v>7</v>
      </c>
      <c r="D32">
        <v>7</v>
      </c>
      <c r="E32">
        <v>0</v>
      </c>
    </row>
    <row r="33" spans="2:5" hidden="1" x14ac:dyDescent="0.35">
      <c r="B33" t="s">
        <v>234</v>
      </c>
      <c r="C33">
        <v>2</v>
      </c>
      <c r="D33">
        <v>2</v>
      </c>
      <c r="E33">
        <v>0</v>
      </c>
    </row>
    <row r="34" spans="2:5" hidden="1" x14ac:dyDescent="0.35">
      <c r="B34" t="s">
        <v>231</v>
      </c>
      <c r="C34">
        <v>1</v>
      </c>
      <c r="D34">
        <v>1</v>
      </c>
      <c r="E34">
        <v>0</v>
      </c>
    </row>
    <row r="35" spans="2:5" hidden="1" x14ac:dyDescent="0.35">
      <c r="B35" t="s">
        <v>232</v>
      </c>
      <c r="C35">
        <v>3</v>
      </c>
      <c r="D35">
        <v>3</v>
      </c>
      <c r="E35">
        <v>0</v>
      </c>
    </row>
    <row r="36" spans="2:5" hidden="1" x14ac:dyDescent="0.35">
      <c r="B36" t="s">
        <v>233</v>
      </c>
      <c r="C36">
        <v>17</v>
      </c>
      <c r="D36">
        <v>17</v>
      </c>
      <c r="E36">
        <v>0</v>
      </c>
    </row>
    <row r="37" spans="2:5" x14ac:dyDescent="0.35">
      <c r="B37" t="s">
        <v>239</v>
      </c>
      <c r="C37">
        <v>16</v>
      </c>
      <c r="D37">
        <v>11</v>
      </c>
      <c r="E37">
        <v>5</v>
      </c>
    </row>
    <row r="38" spans="2:5" hidden="1" x14ac:dyDescent="0.35">
      <c r="B38" t="s">
        <v>238</v>
      </c>
      <c r="C38">
        <v>1</v>
      </c>
      <c r="D38">
        <v>1</v>
      </c>
      <c r="E38">
        <v>0</v>
      </c>
    </row>
    <row r="39" spans="2:5" hidden="1" x14ac:dyDescent="0.35">
      <c r="B39" t="s">
        <v>245</v>
      </c>
      <c r="C39">
        <v>52</v>
      </c>
      <c r="D39">
        <v>52</v>
      </c>
      <c r="E39">
        <v>0</v>
      </c>
    </row>
    <row r="40" spans="2:5" hidden="1" x14ac:dyDescent="0.35">
      <c r="B40" t="s">
        <v>265</v>
      </c>
      <c r="C40">
        <v>3</v>
      </c>
      <c r="D40">
        <v>3</v>
      </c>
      <c r="E40">
        <v>0</v>
      </c>
    </row>
    <row r="41" spans="2:5" hidden="1" x14ac:dyDescent="0.35">
      <c r="B41" t="s">
        <v>254</v>
      </c>
      <c r="C41">
        <v>2</v>
      </c>
      <c r="D41">
        <v>2</v>
      </c>
      <c r="E41">
        <v>0</v>
      </c>
    </row>
    <row r="42" spans="2:5" hidden="1" x14ac:dyDescent="0.35">
      <c r="B42" t="s">
        <v>270</v>
      </c>
      <c r="C42">
        <v>3</v>
      </c>
      <c r="D42">
        <v>3</v>
      </c>
      <c r="E42">
        <v>0</v>
      </c>
    </row>
    <row r="43" spans="2:5" hidden="1" x14ac:dyDescent="0.35">
      <c r="B43" t="s">
        <v>318</v>
      </c>
      <c r="C43">
        <v>20</v>
      </c>
      <c r="D43">
        <v>20</v>
      </c>
      <c r="E43">
        <v>0</v>
      </c>
    </row>
    <row r="44" spans="2:5" hidden="1" x14ac:dyDescent="0.35">
      <c r="B44" t="s">
        <v>313</v>
      </c>
      <c r="C44">
        <v>2</v>
      </c>
      <c r="D44">
        <v>2</v>
      </c>
      <c r="E44">
        <v>0</v>
      </c>
    </row>
    <row r="45" spans="2:5" hidden="1" x14ac:dyDescent="0.35">
      <c r="B45" t="s">
        <v>314</v>
      </c>
      <c r="C45">
        <v>2</v>
      </c>
      <c r="D45">
        <v>2</v>
      </c>
      <c r="E45">
        <v>0</v>
      </c>
    </row>
    <row r="46" spans="2:5" hidden="1" x14ac:dyDescent="0.35">
      <c r="B46" t="s">
        <v>334</v>
      </c>
      <c r="C46">
        <v>2</v>
      </c>
      <c r="D46">
        <v>2</v>
      </c>
      <c r="E46">
        <v>0</v>
      </c>
    </row>
    <row r="47" spans="2:5" hidden="1" x14ac:dyDescent="0.35">
      <c r="B47" t="s">
        <v>356</v>
      </c>
      <c r="C47">
        <v>14</v>
      </c>
      <c r="D47">
        <v>14</v>
      </c>
      <c r="E47">
        <v>0</v>
      </c>
    </row>
    <row r="48" spans="2:5" hidden="1" x14ac:dyDescent="0.35">
      <c r="B48" t="s">
        <v>357</v>
      </c>
      <c r="C48">
        <v>3</v>
      </c>
      <c r="D48">
        <v>3</v>
      </c>
      <c r="E48">
        <v>0</v>
      </c>
    </row>
    <row r="49" spans="2:5" hidden="1" x14ac:dyDescent="0.35">
      <c r="B49" t="s">
        <v>358</v>
      </c>
      <c r="C49">
        <v>6</v>
      </c>
      <c r="D49">
        <v>6</v>
      </c>
      <c r="E49">
        <v>0</v>
      </c>
    </row>
    <row r="50" spans="2:5" hidden="1" x14ac:dyDescent="0.35">
      <c r="B50" t="s">
        <v>365</v>
      </c>
      <c r="C50">
        <v>2</v>
      </c>
      <c r="D50">
        <v>2</v>
      </c>
      <c r="E50">
        <v>0</v>
      </c>
    </row>
    <row r="51" spans="2:5" hidden="1" x14ac:dyDescent="0.35">
      <c r="B51" t="s">
        <v>373</v>
      </c>
      <c r="C51">
        <v>1</v>
      </c>
      <c r="D51">
        <v>1</v>
      </c>
      <c r="E51">
        <v>0</v>
      </c>
    </row>
    <row r="52" spans="2:5" hidden="1" x14ac:dyDescent="0.35">
      <c r="B52" t="s">
        <v>359</v>
      </c>
      <c r="C52">
        <v>20</v>
      </c>
      <c r="D52">
        <v>20</v>
      </c>
      <c r="E52">
        <v>0</v>
      </c>
    </row>
    <row r="53" spans="2:5" hidden="1" x14ac:dyDescent="0.35">
      <c r="B53" t="s">
        <v>375</v>
      </c>
      <c r="C53">
        <v>118</v>
      </c>
      <c r="D53">
        <v>118</v>
      </c>
      <c r="E53">
        <v>0</v>
      </c>
    </row>
    <row r="54" spans="2:5" hidden="1" x14ac:dyDescent="0.35">
      <c r="B54" t="s">
        <v>378</v>
      </c>
      <c r="C54">
        <v>16</v>
      </c>
      <c r="D54">
        <v>16</v>
      </c>
      <c r="E54">
        <v>0</v>
      </c>
    </row>
    <row r="55" spans="2:5" hidden="1" x14ac:dyDescent="0.35">
      <c r="B55" t="s">
        <v>405</v>
      </c>
      <c r="C55">
        <v>89</v>
      </c>
      <c r="D55">
        <v>89</v>
      </c>
      <c r="E55">
        <v>0</v>
      </c>
    </row>
    <row r="56" spans="2:5" hidden="1" x14ac:dyDescent="0.35">
      <c r="B56" t="s">
        <v>426</v>
      </c>
      <c r="C56">
        <v>1</v>
      </c>
      <c r="D56">
        <v>1</v>
      </c>
      <c r="E56">
        <v>0</v>
      </c>
    </row>
    <row r="57" spans="2:5" hidden="1" x14ac:dyDescent="0.35">
      <c r="B57" t="s">
        <v>436</v>
      </c>
      <c r="C57">
        <v>4</v>
      </c>
      <c r="D57">
        <v>4</v>
      </c>
      <c r="E57">
        <v>0</v>
      </c>
    </row>
    <row r="58" spans="2:5" hidden="1" x14ac:dyDescent="0.35">
      <c r="B58" t="s">
        <v>435</v>
      </c>
      <c r="C58">
        <v>49</v>
      </c>
      <c r="D58">
        <v>49</v>
      </c>
      <c r="E58">
        <v>0</v>
      </c>
    </row>
    <row r="59" spans="2:5" hidden="1" x14ac:dyDescent="0.35">
      <c r="B59" t="s">
        <v>431</v>
      </c>
      <c r="C59">
        <v>13</v>
      </c>
      <c r="D59">
        <v>13</v>
      </c>
      <c r="E59">
        <v>0</v>
      </c>
    </row>
    <row r="60" spans="2:5" hidden="1" x14ac:dyDescent="0.35">
      <c r="B60" t="s">
        <v>430</v>
      </c>
      <c r="C60">
        <v>10</v>
      </c>
      <c r="D60">
        <v>10</v>
      </c>
      <c r="E60">
        <v>0</v>
      </c>
    </row>
    <row r="61" spans="2:5" hidden="1" x14ac:dyDescent="0.35">
      <c r="B61" t="s">
        <v>432</v>
      </c>
      <c r="C61">
        <v>12</v>
      </c>
      <c r="D61">
        <v>12</v>
      </c>
      <c r="E61">
        <v>0</v>
      </c>
    </row>
    <row r="62" spans="2:5" hidden="1" x14ac:dyDescent="0.35">
      <c r="B62" t="s">
        <v>447</v>
      </c>
      <c r="C62">
        <v>3</v>
      </c>
      <c r="D62">
        <v>3</v>
      </c>
      <c r="E62">
        <v>0</v>
      </c>
    </row>
    <row r="63" spans="2:5" hidden="1" x14ac:dyDescent="0.35">
      <c r="B63" t="s">
        <v>458</v>
      </c>
      <c r="C63">
        <v>9</v>
      </c>
      <c r="D63">
        <v>9</v>
      </c>
      <c r="E63">
        <v>0</v>
      </c>
    </row>
    <row r="64" spans="2:5" hidden="1" x14ac:dyDescent="0.35">
      <c r="B64" t="s">
        <v>462</v>
      </c>
      <c r="C64">
        <v>12</v>
      </c>
      <c r="D64">
        <v>12</v>
      </c>
      <c r="E64">
        <v>0</v>
      </c>
    </row>
    <row r="65" spans="2:5" hidden="1" x14ac:dyDescent="0.35">
      <c r="B65" t="s">
        <v>491</v>
      </c>
      <c r="C65">
        <v>14</v>
      </c>
      <c r="D65">
        <v>14</v>
      </c>
      <c r="E65">
        <v>0</v>
      </c>
    </row>
    <row r="66" spans="2:5" hidden="1" x14ac:dyDescent="0.35">
      <c r="B66" t="s">
        <v>489</v>
      </c>
      <c r="C66">
        <v>42</v>
      </c>
      <c r="D66">
        <v>42</v>
      </c>
      <c r="E66">
        <v>0</v>
      </c>
    </row>
    <row r="67" spans="2:5" hidden="1" x14ac:dyDescent="0.35">
      <c r="B67" t="s">
        <v>501</v>
      </c>
      <c r="C67">
        <v>1</v>
      </c>
      <c r="D67">
        <v>1</v>
      </c>
      <c r="E67">
        <v>0</v>
      </c>
    </row>
    <row r="68" spans="2:5" hidden="1" x14ac:dyDescent="0.35">
      <c r="B68" t="s">
        <v>518</v>
      </c>
      <c r="C68">
        <v>10</v>
      </c>
      <c r="D68">
        <v>10</v>
      </c>
      <c r="E68">
        <v>0</v>
      </c>
    </row>
    <row r="69" spans="2:5" hidden="1" x14ac:dyDescent="0.35">
      <c r="B69" t="s">
        <v>575</v>
      </c>
      <c r="C69">
        <v>5</v>
      </c>
      <c r="D69">
        <v>5</v>
      </c>
      <c r="E69">
        <v>0</v>
      </c>
    </row>
    <row r="70" spans="2:5" hidden="1" x14ac:dyDescent="0.35">
      <c r="B70" t="s">
        <v>573</v>
      </c>
      <c r="C70">
        <v>2</v>
      </c>
      <c r="D70">
        <v>2</v>
      </c>
      <c r="E70">
        <v>0</v>
      </c>
    </row>
    <row r="71" spans="2:5" hidden="1" x14ac:dyDescent="0.35">
      <c r="B71" t="s">
        <v>568</v>
      </c>
      <c r="C71">
        <v>1</v>
      </c>
      <c r="D71">
        <v>1</v>
      </c>
      <c r="E71">
        <v>0</v>
      </c>
    </row>
    <row r="72" spans="2:5" hidden="1" x14ac:dyDescent="0.35">
      <c r="B72" t="s">
        <v>583</v>
      </c>
      <c r="C72">
        <v>26</v>
      </c>
      <c r="D72">
        <v>26</v>
      </c>
      <c r="E72">
        <v>0</v>
      </c>
    </row>
    <row r="73" spans="2:5" hidden="1" x14ac:dyDescent="0.35">
      <c r="B73" t="s">
        <v>591</v>
      </c>
      <c r="C73">
        <v>12</v>
      </c>
      <c r="D73">
        <v>12</v>
      </c>
      <c r="E73">
        <v>0</v>
      </c>
    </row>
    <row r="74" spans="2:5" hidden="1" x14ac:dyDescent="0.35">
      <c r="B74" t="s">
        <v>592</v>
      </c>
      <c r="C74">
        <v>2</v>
      </c>
      <c r="D74">
        <v>2</v>
      </c>
      <c r="E74">
        <v>0</v>
      </c>
    </row>
    <row r="75" spans="2:5" hidden="1" x14ac:dyDescent="0.35">
      <c r="B75" t="s">
        <v>593</v>
      </c>
      <c r="C75">
        <v>4</v>
      </c>
      <c r="D75">
        <v>4</v>
      </c>
      <c r="E75">
        <v>0</v>
      </c>
    </row>
    <row r="76" spans="2:5" hidden="1" x14ac:dyDescent="0.35">
      <c r="B76" t="s">
        <v>579</v>
      </c>
      <c r="C76">
        <v>20</v>
      </c>
      <c r="D76">
        <v>20</v>
      </c>
      <c r="E76">
        <v>0</v>
      </c>
    </row>
    <row r="77" spans="2:5" hidden="1" x14ac:dyDescent="0.35">
      <c r="B77" t="s">
        <v>614</v>
      </c>
      <c r="C77">
        <v>60</v>
      </c>
      <c r="D77">
        <v>60</v>
      </c>
      <c r="E77">
        <v>0</v>
      </c>
    </row>
    <row r="78" spans="2:5" hidden="1" x14ac:dyDescent="0.35">
      <c r="B78" t="s">
        <v>613</v>
      </c>
      <c r="C78">
        <v>20</v>
      </c>
      <c r="D78">
        <v>20</v>
      </c>
      <c r="E78">
        <v>0</v>
      </c>
    </row>
    <row r="79" spans="2:5" hidden="1" x14ac:dyDescent="0.35">
      <c r="B79" t="s">
        <v>624</v>
      </c>
      <c r="C79">
        <v>44</v>
      </c>
      <c r="D79">
        <v>44</v>
      </c>
      <c r="E79">
        <v>0</v>
      </c>
    </row>
    <row r="80" spans="2:5" hidden="1" x14ac:dyDescent="0.35">
      <c r="B80" t="s">
        <v>625</v>
      </c>
      <c r="C80">
        <v>23</v>
      </c>
      <c r="D80">
        <v>23</v>
      </c>
      <c r="E80">
        <v>0</v>
      </c>
    </row>
    <row r="81" spans="2:5" hidden="1" x14ac:dyDescent="0.35">
      <c r="B81" t="s">
        <v>656</v>
      </c>
      <c r="C81">
        <v>2</v>
      </c>
      <c r="D81">
        <v>2</v>
      </c>
      <c r="E81">
        <v>0</v>
      </c>
    </row>
    <row r="82" spans="2:5" hidden="1" x14ac:dyDescent="0.35">
      <c r="B82" t="s">
        <v>643</v>
      </c>
      <c r="C82">
        <v>24</v>
      </c>
      <c r="D82">
        <v>24</v>
      </c>
      <c r="E82">
        <v>0</v>
      </c>
    </row>
    <row r="83" spans="2:5" hidden="1" x14ac:dyDescent="0.35">
      <c r="B83" t="s">
        <v>632</v>
      </c>
      <c r="C83">
        <v>20</v>
      </c>
      <c r="D83">
        <v>20</v>
      </c>
      <c r="E83">
        <v>0</v>
      </c>
    </row>
    <row r="84" spans="2:5" hidden="1" x14ac:dyDescent="0.35">
      <c r="B84" t="s">
        <v>653</v>
      </c>
      <c r="C84">
        <v>2</v>
      </c>
      <c r="D84">
        <v>2</v>
      </c>
      <c r="E84">
        <v>0</v>
      </c>
    </row>
    <row r="85" spans="2:5" hidden="1" x14ac:dyDescent="0.35">
      <c r="B85" t="s">
        <v>655</v>
      </c>
      <c r="C85">
        <v>10</v>
      </c>
      <c r="D85">
        <v>10</v>
      </c>
      <c r="E85">
        <v>0</v>
      </c>
    </row>
    <row r="86" spans="2:5" hidden="1" x14ac:dyDescent="0.35">
      <c r="B86" t="s">
        <v>675</v>
      </c>
      <c r="C86">
        <v>6</v>
      </c>
      <c r="D86">
        <v>6</v>
      </c>
      <c r="E86">
        <v>0</v>
      </c>
    </row>
    <row r="87" spans="2:5" x14ac:dyDescent="0.35">
      <c r="B87" t="s">
        <v>683</v>
      </c>
      <c r="C87">
        <v>12</v>
      </c>
      <c r="D87">
        <v>11</v>
      </c>
      <c r="E87">
        <v>1</v>
      </c>
    </row>
    <row r="88" spans="2:5" hidden="1" x14ac:dyDescent="0.35">
      <c r="B88" t="s">
        <v>687</v>
      </c>
      <c r="C88">
        <v>6</v>
      </c>
      <c r="D88">
        <v>6</v>
      </c>
      <c r="E88">
        <v>0</v>
      </c>
    </row>
    <row r="89" spans="2:5" hidden="1" x14ac:dyDescent="0.35">
      <c r="B89" t="s">
        <v>719</v>
      </c>
      <c r="C89">
        <v>1</v>
      </c>
      <c r="D89">
        <v>1</v>
      </c>
      <c r="E89">
        <v>0</v>
      </c>
    </row>
    <row r="90" spans="2:5" hidden="1" x14ac:dyDescent="0.35">
      <c r="B90" t="s">
        <v>720</v>
      </c>
      <c r="C90">
        <v>2</v>
      </c>
      <c r="D90">
        <v>2</v>
      </c>
      <c r="E90">
        <v>0</v>
      </c>
    </row>
    <row r="91" spans="2:5" hidden="1" x14ac:dyDescent="0.35">
      <c r="B91" t="s">
        <v>718</v>
      </c>
      <c r="C91">
        <v>4</v>
      </c>
      <c r="D91">
        <v>4</v>
      </c>
      <c r="E91">
        <v>0</v>
      </c>
    </row>
    <row r="92" spans="2:5" hidden="1" x14ac:dyDescent="0.35">
      <c r="B92" t="s">
        <v>729</v>
      </c>
      <c r="C92">
        <v>247</v>
      </c>
      <c r="D92">
        <v>247</v>
      </c>
      <c r="E92">
        <v>0</v>
      </c>
    </row>
    <row r="93" spans="2:5" hidden="1" x14ac:dyDescent="0.35">
      <c r="B93" t="s">
        <v>728</v>
      </c>
      <c r="C93">
        <v>26</v>
      </c>
      <c r="D93">
        <v>26</v>
      </c>
      <c r="E93">
        <v>0</v>
      </c>
    </row>
    <row r="94" spans="2:5" hidden="1" x14ac:dyDescent="0.35">
      <c r="B94" t="s">
        <v>744</v>
      </c>
      <c r="C94">
        <v>38</v>
      </c>
      <c r="D94">
        <v>38</v>
      </c>
      <c r="E94">
        <v>0</v>
      </c>
    </row>
    <row r="95" spans="2:5" hidden="1" x14ac:dyDescent="0.35">
      <c r="B95" t="s">
        <v>745</v>
      </c>
      <c r="C95">
        <v>1</v>
      </c>
      <c r="D95">
        <v>1</v>
      </c>
      <c r="E95">
        <v>0</v>
      </c>
    </row>
    <row r="96" spans="2:5" hidden="1" x14ac:dyDescent="0.35">
      <c r="B96" t="s">
        <v>748</v>
      </c>
      <c r="C96">
        <v>4</v>
      </c>
      <c r="D96">
        <v>4</v>
      </c>
      <c r="E96">
        <v>0</v>
      </c>
    </row>
    <row r="97" spans="2:5" hidden="1" x14ac:dyDescent="0.35">
      <c r="B97" t="s">
        <v>763</v>
      </c>
      <c r="C97">
        <v>96</v>
      </c>
      <c r="D97">
        <v>96</v>
      </c>
      <c r="E97">
        <v>0</v>
      </c>
    </row>
    <row r="98" spans="2:5" x14ac:dyDescent="0.35">
      <c r="B98" s="34" t="s">
        <v>765</v>
      </c>
      <c r="C98" s="34">
        <v>27</v>
      </c>
      <c r="D98" s="34">
        <v>24</v>
      </c>
      <c r="E98" s="34">
        <v>3</v>
      </c>
    </row>
    <row r="99" spans="2:5" hidden="1" x14ac:dyDescent="0.35">
      <c r="B99" t="s">
        <v>764</v>
      </c>
      <c r="C99">
        <v>1</v>
      </c>
      <c r="D99">
        <v>1</v>
      </c>
      <c r="E99">
        <v>0</v>
      </c>
    </row>
    <row r="100" spans="2:5" hidden="1" x14ac:dyDescent="0.35">
      <c r="B100" t="s">
        <v>787</v>
      </c>
      <c r="C100">
        <v>2</v>
      </c>
      <c r="D100">
        <v>2</v>
      </c>
      <c r="E100">
        <v>0</v>
      </c>
    </row>
    <row r="101" spans="2:5" x14ac:dyDescent="0.35">
      <c r="B101" t="s">
        <v>791</v>
      </c>
      <c r="C101">
        <v>41</v>
      </c>
      <c r="D101">
        <v>30</v>
      </c>
      <c r="E101">
        <v>11</v>
      </c>
    </row>
    <row r="102" spans="2:5" hidden="1" x14ac:dyDescent="0.35">
      <c r="B102" t="s">
        <v>813</v>
      </c>
      <c r="C102">
        <v>83</v>
      </c>
      <c r="D102">
        <v>83</v>
      </c>
      <c r="E102">
        <v>0</v>
      </c>
    </row>
    <row r="103" spans="2:5" hidden="1" x14ac:dyDescent="0.35">
      <c r="B103" t="s">
        <v>814</v>
      </c>
      <c r="C103">
        <v>15</v>
      </c>
      <c r="D103">
        <v>15</v>
      </c>
      <c r="E103">
        <v>0</v>
      </c>
    </row>
    <row r="104" spans="2:5" hidden="1" x14ac:dyDescent="0.35">
      <c r="B104" t="s">
        <v>815</v>
      </c>
      <c r="C104">
        <v>20</v>
      </c>
      <c r="D104">
        <v>20</v>
      </c>
      <c r="E104">
        <v>0</v>
      </c>
    </row>
    <row r="105" spans="2:5" hidden="1" x14ac:dyDescent="0.35">
      <c r="B105" t="s">
        <v>816</v>
      </c>
      <c r="C105">
        <v>20</v>
      </c>
      <c r="D105">
        <v>20</v>
      </c>
      <c r="E105">
        <v>0</v>
      </c>
    </row>
    <row r="106" spans="2:5" hidden="1" x14ac:dyDescent="0.35">
      <c r="B106" t="s">
        <v>818</v>
      </c>
      <c r="C106">
        <v>2</v>
      </c>
      <c r="D106">
        <v>2</v>
      </c>
      <c r="E106">
        <v>0</v>
      </c>
    </row>
    <row r="107" spans="2:5" hidden="1" x14ac:dyDescent="0.35">
      <c r="B107" t="s">
        <v>841</v>
      </c>
      <c r="C107">
        <v>2</v>
      </c>
      <c r="D107">
        <v>2</v>
      </c>
      <c r="E107">
        <v>0</v>
      </c>
    </row>
    <row r="108" spans="2:5" hidden="1" x14ac:dyDescent="0.35">
      <c r="B108" t="s">
        <v>843</v>
      </c>
      <c r="C108">
        <v>1</v>
      </c>
      <c r="D108">
        <v>1</v>
      </c>
      <c r="E108">
        <v>0</v>
      </c>
    </row>
    <row r="109" spans="2:5" hidden="1" x14ac:dyDescent="0.35">
      <c r="B109" t="s">
        <v>842</v>
      </c>
      <c r="C109">
        <v>31</v>
      </c>
      <c r="D109">
        <v>31</v>
      </c>
      <c r="E109">
        <v>0</v>
      </c>
    </row>
    <row r="110" spans="2:5" hidden="1" x14ac:dyDescent="0.35">
      <c r="B110" t="s">
        <v>856</v>
      </c>
      <c r="C110">
        <v>2</v>
      </c>
      <c r="D110">
        <v>2</v>
      </c>
      <c r="E110">
        <v>0</v>
      </c>
    </row>
    <row r="111" spans="2:5" hidden="1" x14ac:dyDescent="0.35">
      <c r="B111" t="s">
        <v>862</v>
      </c>
      <c r="C111">
        <v>60</v>
      </c>
      <c r="D111">
        <v>60</v>
      </c>
      <c r="E111">
        <v>0</v>
      </c>
    </row>
    <row r="112" spans="2:5" hidden="1" x14ac:dyDescent="0.35">
      <c r="B112" t="s">
        <v>869</v>
      </c>
      <c r="C112">
        <v>1</v>
      </c>
      <c r="D112">
        <v>1</v>
      </c>
      <c r="E112">
        <v>0</v>
      </c>
    </row>
    <row r="113" spans="2:5" x14ac:dyDescent="0.35">
      <c r="B113" t="s">
        <v>880</v>
      </c>
      <c r="C113">
        <v>80</v>
      </c>
      <c r="D113">
        <v>60</v>
      </c>
      <c r="E113">
        <v>20</v>
      </c>
    </row>
    <row r="114" spans="2:5" x14ac:dyDescent="0.35">
      <c r="B114" t="s">
        <v>900</v>
      </c>
      <c r="C114">
        <v>82</v>
      </c>
      <c r="D114">
        <v>79</v>
      </c>
      <c r="E114">
        <v>3</v>
      </c>
    </row>
    <row r="115" spans="2:5" x14ac:dyDescent="0.35">
      <c r="B115" s="34" t="s">
        <v>895</v>
      </c>
      <c r="C115" s="34">
        <v>15</v>
      </c>
      <c r="D115" s="34">
        <v>3</v>
      </c>
      <c r="E115" s="34">
        <v>12</v>
      </c>
    </row>
    <row r="116" spans="2:5" hidden="1" x14ac:dyDescent="0.35">
      <c r="B116" t="s">
        <v>892</v>
      </c>
      <c r="C116">
        <v>2</v>
      </c>
      <c r="D116">
        <v>2</v>
      </c>
      <c r="E116">
        <v>0</v>
      </c>
    </row>
    <row r="117" spans="2:5" hidden="1" x14ac:dyDescent="0.35">
      <c r="B117" t="s">
        <v>928</v>
      </c>
      <c r="C117">
        <v>4</v>
      </c>
      <c r="D117">
        <v>4</v>
      </c>
      <c r="E117">
        <v>0</v>
      </c>
    </row>
    <row r="118" spans="2:5" x14ac:dyDescent="0.35">
      <c r="B118" t="s">
        <v>925</v>
      </c>
      <c r="C118">
        <v>65</v>
      </c>
      <c r="D118">
        <v>51</v>
      </c>
      <c r="E118">
        <v>14</v>
      </c>
    </row>
    <row r="119" spans="2:5" hidden="1" x14ac:dyDescent="0.35">
      <c r="B119" t="s">
        <v>955</v>
      </c>
      <c r="C119">
        <v>16</v>
      </c>
      <c r="D119">
        <v>16</v>
      </c>
      <c r="E119">
        <v>0</v>
      </c>
    </row>
    <row r="120" spans="2:5" hidden="1" x14ac:dyDescent="0.35">
      <c r="B120" t="s">
        <v>962</v>
      </c>
      <c r="C120">
        <v>1</v>
      </c>
      <c r="D120">
        <v>1</v>
      </c>
      <c r="E120">
        <v>0</v>
      </c>
    </row>
    <row r="121" spans="2:5" hidden="1" x14ac:dyDescent="0.35">
      <c r="B121" t="s">
        <v>956</v>
      </c>
      <c r="C121">
        <v>2</v>
      </c>
      <c r="D121">
        <v>2</v>
      </c>
      <c r="E121">
        <v>0</v>
      </c>
    </row>
    <row r="122" spans="2:5" x14ac:dyDescent="0.35">
      <c r="B122" t="s">
        <v>957</v>
      </c>
      <c r="C122">
        <v>24</v>
      </c>
      <c r="D122">
        <v>18</v>
      </c>
      <c r="E122">
        <v>6</v>
      </c>
    </row>
    <row r="123" spans="2:5" hidden="1" x14ac:dyDescent="0.35">
      <c r="B123" t="s">
        <v>958</v>
      </c>
      <c r="C123">
        <v>18</v>
      </c>
      <c r="D123">
        <v>18</v>
      </c>
      <c r="E123">
        <v>0</v>
      </c>
    </row>
    <row r="124" spans="2:5" hidden="1" x14ac:dyDescent="0.35">
      <c r="B124" t="s">
        <v>959</v>
      </c>
      <c r="C124">
        <v>39</v>
      </c>
      <c r="D124">
        <v>39</v>
      </c>
      <c r="E124">
        <v>0</v>
      </c>
    </row>
    <row r="125" spans="2:5" x14ac:dyDescent="0.35">
      <c r="B125" t="s">
        <v>981</v>
      </c>
      <c r="C125">
        <v>14</v>
      </c>
      <c r="D125">
        <v>11</v>
      </c>
      <c r="E125">
        <v>3</v>
      </c>
    </row>
    <row r="126" spans="2:5" hidden="1" x14ac:dyDescent="0.35">
      <c r="B126" t="s">
        <v>975</v>
      </c>
      <c r="C126">
        <v>20</v>
      </c>
      <c r="D126">
        <v>20</v>
      </c>
      <c r="E126">
        <v>0</v>
      </c>
    </row>
    <row r="127" spans="2:5" hidden="1" x14ac:dyDescent="0.35">
      <c r="B127" t="s">
        <v>976</v>
      </c>
      <c r="C127">
        <v>1</v>
      </c>
      <c r="D127">
        <v>1</v>
      </c>
      <c r="E127">
        <v>0</v>
      </c>
    </row>
    <row r="128" spans="2:5" hidden="1" x14ac:dyDescent="0.35">
      <c r="B128" t="s">
        <v>977</v>
      </c>
      <c r="C128">
        <v>1</v>
      </c>
      <c r="D128">
        <v>1</v>
      </c>
      <c r="E128">
        <v>0</v>
      </c>
    </row>
    <row r="129" spans="2:5" hidden="1" x14ac:dyDescent="0.35">
      <c r="B129" t="s">
        <v>979</v>
      </c>
      <c r="C129">
        <v>61</v>
      </c>
      <c r="D129">
        <v>61</v>
      </c>
      <c r="E129">
        <v>0</v>
      </c>
    </row>
    <row r="130" spans="2:5" x14ac:dyDescent="0.35">
      <c r="B130" s="34" t="s">
        <v>980</v>
      </c>
      <c r="C130" s="34">
        <v>205</v>
      </c>
      <c r="D130" s="34">
        <v>131</v>
      </c>
      <c r="E130" s="34">
        <v>74</v>
      </c>
    </row>
    <row r="131" spans="2:5" x14ac:dyDescent="0.35">
      <c r="B131" t="s">
        <v>1022</v>
      </c>
      <c r="C131">
        <v>50</v>
      </c>
      <c r="D131">
        <v>40</v>
      </c>
      <c r="E131">
        <v>10</v>
      </c>
    </row>
    <row r="132" spans="2:5" hidden="1" x14ac:dyDescent="0.35">
      <c r="B132" t="s">
        <v>1023</v>
      </c>
      <c r="C132">
        <v>4</v>
      </c>
      <c r="D132">
        <v>4</v>
      </c>
      <c r="E132">
        <v>0</v>
      </c>
    </row>
    <row r="133" spans="2:5" hidden="1" x14ac:dyDescent="0.35">
      <c r="B133" t="s">
        <v>1024</v>
      </c>
      <c r="C133">
        <v>32</v>
      </c>
      <c r="D133">
        <v>32</v>
      </c>
      <c r="E133">
        <v>0</v>
      </c>
    </row>
    <row r="134" spans="2:5" hidden="1" x14ac:dyDescent="0.35">
      <c r="B134" t="s">
        <v>1049</v>
      </c>
      <c r="C134">
        <v>5</v>
      </c>
      <c r="D134">
        <v>5</v>
      </c>
      <c r="E134">
        <v>0</v>
      </c>
    </row>
    <row r="135" spans="2:5" hidden="1" x14ac:dyDescent="0.35">
      <c r="B135" t="s">
        <v>1050</v>
      </c>
      <c r="C135">
        <v>1</v>
      </c>
      <c r="D135">
        <v>1</v>
      </c>
      <c r="E135">
        <v>0</v>
      </c>
    </row>
    <row r="136" spans="2:5" hidden="1" x14ac:dyDescent="0.35">
      <c r="B136" t="s">
        <v>1098</v>
      </c>
      <c r="C136">
        <v>67</v>
      </c>
      <c r="D136">
        <v>67</v>
      </c>
      <c r="E136">
        <v>0</v>
      </c>
    </row>
    <row r="137" spans="2:5" hidden="1" x14ac:dyDescent="0.35">
      <c r="B137" t="s">
        <v>1085</v>
      </c>
      <c r="C137">
        <v>15</v>
      </c>
      <c r="D137">
        <v>15</v>
      </c>
      <c r="E137">
        <v>0</v>
      </c>
    </row>
    <row r="138" spans="2:5" hidden="1" x14ac:dyDescent="0.35">
      <c r="B138" t="s">
        <v>1105</v>
      </c>
      <c r="C138">
        <v>1</v>
      </c>
      <c r="D138">
        <v>1</v>
      </c>
      <c r="E138">
        <v>0</v>
      </c>
    </row>
    <row r="139" spans="2:5" hidden="1" x14ac:dyDescent="0.35">
      <c r="B139" t="s">
        <v>1114</v>
      </c>
      <c r="C139">
        <v>1</v>
      </c>
      <c r="D139">
        <v>1</v>
      </c>
      <c r="E139">
        <v>0</v>
      </c>
    </row>
    <row r="140" spans="2:5" hidden="1" x14ac:dyDescent="0.35">
      <c r="B140" t="s">
        <v>1115</v>
      </c>
      <c r="C140">
        <v>4</v>
      </c>
      <c r="D140">
        <v>4</v>
      </c>
      <c r="E140">
        <v>0</v>
      </c>
    </row>
    <row r="141" spans="2:5" hidden="1" x14ac:dyDescent="0.35">
      <c r="B141" t="s">
        <v>1116</v>
      </c>
      <c r="C141">
        <v>4</v>
      </c>
      <c r="D141">
        <v>4</v>
      </c>
      <c r="E141">
        <v>0</v>
      </c>
    </row>
    <row r="142" spans="2:5" x14ac:dyDescent="0.35">
      <c r="B142" t="s">
        <v>1131</v>
      </c>
      <c r="C142">
        <v>12</v>
      </c>
      <c r="D142">
        <v>2</v>
      </c>
      <c r="E142">
        <v>10</v>
      </c>
    </row>
    <row r="143" spans="2:5" x14ac:dyDescent="0.35">
      <c r="B143" s="34" t="s">
        <v>1150</v>
      </c>
      <c r="C143" s="34">
        <v>10</v>
      </c>
      <c r="D143" s="34">
        <v>6</v>
      </c>
      <c r="E143" s="34">
        <v>4</v>
      </c>
    </row>
    <row r="144" spans="2:5" x14ac:dyDescent="0.35">
      <c r="B144" t="s">
        <v>1149</v>
      </c>
      <c r="C144">
        <v>12</v>
      </c>
      <c r="D144">
        <v>6</v>
      </c>
      <c r="E144">
        <v>6</v>
      </c>
    </row>
    <row r="145" spans="2:5" hidden="1" x14ac:dyDescent="0.35">
      <c r="B145" t="s">
        <v>1147</v>
      </c>
      <c r="C145">
        <v>5</v>
      </c>
      <c r="D145">
        <v>5</v>
      </c>
      <c r="E145">
        <v>0</v>
      </c>
    </row>
    <row r="146" spans="2:5" hidden="1" x14ac:dyDescent="0.35">
      <c r="B146" t="s">
        <v>1170</v>
      </c>
      <c r="C146">
        <v>1</v>
      </c>
      <c r="D146">
        <v>1</v>
      </c>
      <c r="E146">
        <v>0</v>
      </c>
    </row>
    <row r="147" spans="2:5" x14ac:dyDescent="0.35">
      <c r="B147" t="s">
        <v>1186</v>
      </c>
      <c r="C147">
        <v>1</v>
      </c>
      <c r="E147">
        <v>1</v>
      </c>
    </row>
    <row r="148" spans="2:5" x14ac:dyDescent="0.35">
      <c r="B148" s="96" t="s">
        <v>181</v>
      </c>
      <c r="C148" s="96">
        <v>4077</v>
      </c>
      <c r="D148" s="96">
        <v>3874</v>
      </c>
      <c r="E148" s="96">
        <v>203</v>
      </c>
    </row>
  </sheetData>
  <autoFilter ref="B5:E148" xr:uid="{B17A64E4-B0F4-480E-B8C3-EEF26E3C11F6}">
    <filterColumn colId="3">
      <filters>
        <filter val="1"/>
        <filter val="10"/>
        <filter val="11"/>
        <filter val="12"/>
        <filter val="14"/>
        <filter val="20"/>
        <filter val="203"/>
        <filter val="3"/>
        <filter val="4"/>
        <filter val="5"/>
        <filter val="6"/>
        <filter val="74"/>
      </filters>
    </filterColumn>
  </autoFilter>
  <pageMargins left="0.39370078740157483" right="0" top="0.59055118110236227" bottom="0.74803149606299213" header="0.31496062992125984" footer="0.31496062992125984"/>
  <pageSetup orientation="portrait" r:id="rId1"/>
  <rowBreaks count="1" manualBreakCount="1">
    <brk id="98" max="16383" man="1"/>
  </rowBreaks>
  <colBreaks count="1" manualBreakCount="1">
    <brk id="1" max="1048575" man="1"/>
  </colBreak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Suppluer Code</vt:lpstr>
      <vt:lpstr>Raw Inventory</vt:lpstr>
      <vt:lpstr>Purcahse_Inv</vt:lpstr>
      <vt:lpstr>Stock Bal</vt:lpstr>
      <vt:lpstr>Stock Bal_Audit</vt:lpstr>
      <vt:lpstr>Purcahse_Inv!Print_Area</vt:lpstr>
      <vt:lpstr>'Raw Inventory'!Print_Area</vt:lpstr>
      <vt:lpstr>'Stock Bal'!Print_Area</vt:lpstr>
      <vt:lpstr>'Stock Bal_Audit'!Print_Area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audrinayoo</dc:creator>
  <cp:lastModifiedBy>audrinayoo</cp:lastModifiedBy>
  <cp:lastPrinted>2023-06-29T08:56:01Z</cp:lastPrinted>
  <dcterms:created xsi:type="dcterms:W3CDTF">2020-03-12T07:09:25Z</dcterms:created>
  <dcterms:modified xsi:type="dcterms:W3CDTF">2023-08-11T09:11:15Z</dcterms:modified>
</cp:coreProperties>
</file>